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02a8214a0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" sheetId="1" r:id="Rd129deafd1554254"/>
    <x:sheet xmlns:r="http://schemas.openxmlformats.org/officeDocument/2006/relationships" name="Volume" sheetId="2" r:id="R29ca1b4699074d63"/>
    <x:sheet xmlns:r="http://schemas.openxmlformats.org/officeDocument/2006/relationships" name="Model calls" sheetId="3" r:id="R0a6c66c0e4fe4a13"/>
    <x:sheet xmlns:r="http://schemas.openxmlformats.org/officeDocument/2006/relationships" name="External calls" sheetId="4" r:id="R46cbb1d548ab47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.00;($#,##0.00);$0.00"/>
    <x:numFmt numFmtId="201" formatCode="0.0%"/>
    <x:numFmt numFmtId="202" formatCode="#,##0.0"/>
    <x:numFmt numFmtId="203" formatCode="$0.0000"/>
    <x:numFmt numFmtId="204" formatCode="$0.00"/>
    <x:numFmt numFmtId="205" formatCode="0.000"/>
    <x:numFmt numFmtId="206" formatCode="#,##0"/>
  </x:numFmts>
  <x:fonts count="9">
    <x:font>
      <x:sz val="11"/>
      <x:name val="Carlito"/>
    </x:font>
    <x:font>
      <x:sz val="11"/>
      <x:color rgb="FF24282A"/>
      <x:name val="Arial"/>
    </x:font>
    <x:font>
      <x:b/>
      <x:sz val="16"/>
      <x:color rgb="FF992F3E"/>
      <x:name val="Arial"/>
    </x:font>
    <x:font>
      <x:i/>
      <x:sz val="10"/>
      <x:color rgb="FF63666A"/>
      <x:name val="Arial"/>
    </x:font>
    <x:font>
      <x:b/>
      <x:sz val="11"/>
      <x:color rgb="FFFFFFFF"/>
      <x:name val="Arial"/>
    </x:font>
    <x:font>
      <x:b/>
      <x:sz val="11"/>
      <x:color rgb="FF24282A"/>
      <x:name val="Arial"/>
    </x:font>
    <x:font>
      <x:sz val="11"/>
      <x:color rgb="FF155A8A"/>
      <x:name val="Arial"/>
    </x:font>
    <x:font>
      <x:sz val="11"/>
      <x:color rgb="FF008040"/>
      <x:name val="Arial"/>
    </x:font>
    <x:font>
      <x:sz val="10"/>
      <x:color rgb="FF24282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992F3E"/>
      </x:patternFill>
    </x:fill>
    <x:fill>
      <x:patternFill patternType="solid">
        <x:fgColor rgb="FFFFFFFF"/>
      </x:patternFill>
    </x:fill>
    <x:fill>
      <x:patternFill patternType="solid">
        <x:fgColor rgb="FFFAF8F5"/>
      </x:patternFill>
    </x:fill>
    <x:fill>
      <x:patternFill patternType="solid">
        <x:fgColor rgb="FFFFF3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92F3E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4" fontId="6" fillId="5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6" fillId="5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02323"/>
      </x:font>
      <x:fill>
        <x:patternFill patternType="solid">
          <x:bgColor rgb="FFFCE8E6"/>
        </x:patternFill>
      </x:fill>
    </x:dxf>
    <x:dxf>
      <x:font>
        <x:b/>
        <x:color rgb="FFA02323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5fe8c5b7d4d49" /><Relationship Type="http://schemas.openxmlformats.org/officeDocument/2006/relationships/theme" Target="/xl/theme/theme1.xml" Id="R50f7a13781294611" /><Relationship Type="http://schemas.openxmlformats.org/officeDocument/2006/relationships/sharedStrings" Target="/xl/sharedStrings.xml" Id="R1518035056b745f8" /><Relationship Type="http://schemas.openxmlformats.org/officeDocument/2006/relationships/worksheet" Target="/xl/worksheets/sheet1.xml" Id="Rd129deafd1554254" /><Relationship Type="http://schemas.openxmlformats.org/officeDocument/2006/relationships/worksheet" Target="/xl/worksheets/sheet2.xml" Id="R29ca1b4699074d63" /><Relationship Type="http://schemas.openxmlformats.org/officeDocument/2006/relationships/worksheet" Target="/xl/worksheets/sheet3.xml" Id="R0a6c66c0e4fe4a13" /><Relationship Type="http://schemas.openxmlformats.org/officeDocument/2006/relationships/worksheet" Target="/xl/worksheets/sheet4.xml" Id="R46cbb1d548ab47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a0e0a08d6b04df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Cost per accepted result by monthly volume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Workflow A</c:v>
          </c:tx>
          <c:spPr>
            <a:ln xmlns:a="http://schemas.openxmlformats.org/drawingml/2006/main" w="19050">
              <a:solidFill>
                <a:srgbClr val="992F3E"/>
              </a:solidFill>
              <a:prstDash val="solid"/>
            </a:ln>
          </c:spPr>
          <c:marker>
            <c:symbol val="none"/>
          </c:marker>
          <c:cat>
            <c:strRef>
              <c:f>'Volume'!$A$30:$A$38</c:f>
              <c:strCache>
                <c:ptCount val="0"/>
              </c:strCache>
            </c:strRef>
          </c:cat>
          <c:val>
            <c:numRef>
              <c:f>'Volume'!$B$30:$B$38</c:f>
              <c:numCache>
                <c:formatCode>$#,##0.00;($#,##0.00);$0.00</c:formatCode>
                <c:ptCount val="0"/>
              </c:numCache>
            </c:numRef>
          </c:val>
          <c:smooth val="0"/>
        </c:ser>
        <c:ser>
          <c:idx val="1"/>
          <c:order val="1"/>
          <c:tx>
            <c:v>Workflow B</c:v>
          </c:tx>
          <c:spPr>
            <a:ln xmlns:a="http://schemas.openxmlformats.org/drawingml/2006/main" w="19050">
              <a:solidFill>
                <a:srgbClr val="155A8A"/>
              </a:solidFill>
              <a:prstDash val="solid"/>
            </a:ln>
          </c:spPr>
          <c:marker>
            <c:symbol val="none"/>
          </c:marker>
          <c:cat>
            <c:strRef>
              <c:f>'Volume'!$A$30:$A$38</c:f>
              <c:strCache>
                <c:ptCount val="0"/>
              </c:strCache>
            </c:strRef>
          </c:cat>
          <c:val>
            <c:numRef>
              <c:f>'Volume'!$C$30:$C$38</c:f>
              <c:numCache>
                <c:formatCode>$#,##0.00;($#,##0.00);$0.00</c:formatCode>
                <c:ptCount val="0"/>
              </c:numCache>
            </c:numRef>
          </c:val>
          <c:smooth val="0"/>
        </c:ser>
        <c:ser>
          <c:idx val="2"/>
          <c:order val="2"/>
          <c:tx>
            <c:v>Manual baseline</c:v>
          </c:tx>
          <c:spPr>
            <a:ln xmlns:a="http://schemas.openxmlformats.org/drawingml/2006/main" w="19050">
              <a:solidFill>
                <a:srgbClr val="777777"/>
              </a:solidFill>
              <a:prstDash val="dash"/>
            </a:ln>
          </c:spPr>
          <c:marker>
            <c:symbol val="none"/>
          </c:marker>
          <c:cat>
            <c:strRef>
              <c:f>'Volume'!$A$30:$A$38</c:f>
              <c:strCache>
                <c:ptCount val="0"/>
              </c:strCache>
            </c:strRef>
          </c:cat>
          <c:val>
            <c:numRef>
              <c:f>'Volume'!$D$30:$D$38</c:f>
              <c:numCache>
                <c:formatCode>$#,##0.00;($#,##0.00);$0.00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.0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5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a0e0a08d6b04df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9cd460b53ce4047" /></Relationships>
</file>

<file path=xl/worksheets/sheet1.xml><?xml version="1.0" encoding="utf-8"?>
<x:worksheet xmlns:x="http://schemas.openxmlformats.org/spreadsheetml/2006/main">
  <x:sheetPr>
    <x:tabColor rgb="FF992F3E"/>
  </x:sheetPr>
  <x:sheetViews>
    <x:sheetView showGridLines="0" workbookViewId="0"/>
  </x:sheetViews>
  <x:sheetFormatPr defaultRowHeight="15"/>
  <x:cols>
    <x:col min="1" max="1" width="45" hidden="0" customWidth="1"/>
    <x:col min="2" max="2" width="3" hidden="0" customWidth="1"/>
    <x:col min="3" max="3" width="23" hidden="0" customWidth="1"/>
    <x:col min="4" max="4" width="23" hidden="0" customWidth="1"/>
    <x:col min="5" max="5" width="23" hidden="0" customWidth="1"/>
    <x:col min="6" max="6" width="3" hidden="0" customWidth="1"/>
    <x:col min="7" max="7" width="28" hidden="0" customWidth="1"/>
    <x:col min="8" max="8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AI workflow economics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Illustrative planning model. USD. Replace amber inputs with your own measurements and rates.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7" t="str">
        <x:v>Monthly comparison</x:v>
      </x:c>
      <x:c r="B6" s="8"/>
      <x:c r="C6" s="7" t="str">
        <x:v>Workflow A</x:v>
      </x:c>
      <x:c r="D6" s="7" t="str">
        <x:v>Workflow B</x:v>
      </x:c>
      <x:c r="E6" s="7" t="str">
        <x:v>Manual baseline</x:v>
      </x:c>
      <x:c r="F6" s="2"/>
      <x:c r="G6" s="2"/>
      <x:c r="H6" s="2"/>
    </x:row>
    <x:row r="7" ht="24" customHeight="1">
      <x:c r="A7" s="2" t="str">
        <x:v>Fully allocated monthly cost</x:v>
      </x:c>
      <x:c r="B7" s="2"/>
      <x:c r="C7" s="10" t="n">
        <x:f>IF(C59="OK",C54,"Check workflow inputs")</x:f>
        <x:v>12530.546666666667</x:v>
      </x:c>
      <x:c r="D7" s="10" t="n">
        <x:f>IF(D59="OK",D54,"Check workflow inputs")</x:f>
        <x:v>24283.246666666673</x:v>
      </x:c>
      <x:c r="E7" s="10" t="n">
        <x:f>IF(E59="OK",$C$19*$C$22/60*$C$23,"Check baseline inputs")</x:f>
        <x:v>120000</x:v>
      </x:c>
      <x:c r="F7" s="2"/>
      <x:c r="G7" s="17" t="str">
        <x:v>Compare the same task and acceptance rule.</x:v>
      </x:c>
      <x:c r="H7" s="17"/>
    </x:row>
    <x:row r="8" ht="24" customHeight="1">
      <x:c r="A8" s="15" t="str">
        <x:v>Cost per accepted result</x:v>
      </x:c>
      <x:c r="B8" s="15"/>
      <x:c r="C8" s="16" t="n">
        <x:f>IF(C59="OK",C58,"Check workflow inputs")</x:f>
        <x:v>1.3190049122807017</x:v>
      </x:c>
      <x:c r="D8" s="16" t="n">
        <x:f>IF(D59="OK",D58,"Check workflow inputs")</x:f>
        <x:v>2.5561312280701762</x:v>
      </x:c>
      <x:c r="E8" s="16" t="n">
        <x:f>IF(E59&lt;&gt;"OK","Check baseline inputs",IF(E10&gt;0,E7/E10,"No accepted results"))</x:f>
        <x:v>12.244897959183673</x:v>
      </x:c>
      <x:c r="F8" s="2"/>
      <x:c r="G8" s="17"/>
      <x:c r="H8" s="17"/>
    </x:row>
    <x:row r="9" ht="24" customHeight="1">
      <x:c r="A9" s="2" t="str">
        <x:v>Accepted fraction</x:v>
      </x:c>
      <x:c r="B9" s="2"/>
      <x:c r="C9" s="11" t="n">
        <x:f>IF(C59="OK",C55,"Check workflow inputs")</x:f>
        <x:v>0.9500000000000001</x:v>
      </x:c>
      <x:c r="D9" s="11" t="n">
        <x:f>IF(D59="OK",D55,"Check workflow inputs")</x:f>
        <x:v>0.95</x:v>
      </x:c>
      <x:c r="E9" s="11" t="n">
        <x:f>IF(E59="OK",$C$24,"Check baseline inputs")</x:f>
        <x:v>0.98</x:v>
      </x:c>
      <x:c r="F9" s="2"/>
      <x:c r="G9" s="17" t="str">
        <x:v>Manual baseline includes labor only.</x:v>
      </x:c>
      <x:c r="H9" s="17"/>
    </x:row>
    <x:row r="10" ht="24" customHeight="1">
      <x:c r="A10" s="2" t="str">
        <x:v>Expected accepted results</x:v>
      </x:c>
      <x:c r="B10" s="2"/>
      <x:c r="C10" s="12" t="n">
        <x:f>IF(C59="OK",C56,"Check workflow inputs")</x:f>
        <x:v>9500</x:v>
      </x:c>
      <x:c r="D10" s="12" t="n">
        <x:f>IF(D59="OK",D56,"Check workflow inputs")</x:f>
        <x:v>9500</x:v>
      </x:c>
      <x:c r="E10" s="12" t="n">
        <x:f>IF(E59="OK",$C$19*$C$24,"Check baseline inputs")</x:f>
        <x:v>9800</x:v>
      </x:c>
      <x:c r="F10" s="2"/>
      <x:c r="G10" s="17"/>
      <x:c r="H10" s="17"/>
    </x:row>
    <x:row r="11" ht="24" customHeight="1">
      <x:c r="A11" s="2" t="str">
        <x:v>Expected unaccepted tasks</x:v>
      </x:c>
      <x:c r="B11" s="2"/>
      <x:c r="C11" s="12" t="n">
        <x:f>IF(C59="OK",C64,"Check workflow inputs")</x:f>
        <x:v>500</x:v>
      </x:c>
      <x:c r="D11" s="12" t="n">
        <x:f>IF(D59="OK",D64,"Check workflow inputs")</x:f>
        <x:v>500</x:v>
      </x:c>
      <x:c r="E11" s="12" t="n">
        <x:f>IF(E59="OK",$C$19-E10,"Check baseline inputs")</x:f>
        <x:v>200</x:v>
      </x:c>
      <x:c r="F11" s="2"/>
      <x:c r="G11" s="17" t="str">
        <x:v>Time released is not automatically cash saved.</x:v>
      </x:c>
      <x:c r="H11" s="17"/>
    </x:row>
    <x:row r="12" ht="24" customHeight="1">
      <x:c r="A12" s="2" t="str">
        <x:v>Human effort (hours)</x:v>
      </x:c>
      <x:c r="B12" s="2"/>
      <x:c r="C12" s="12" t="n">
        <x:f>IF(C59="OK",C57,"Check workflow inputs")</x:f>
        <x:v>189.33333333333334</x:v>
      </x:c>
      <x:c r="D12" s="12" t="n">
        <x:f>IF(D59="OK",D57,"Check workflow inputs")</x:f>
        <x:v>375.6666666666667</x:v>
      </x:c>
      <x:c r="E12" s="12" t="n">
        <x:f>IF(E59="OK",$C$19*$C$22/60,"Check baseline inputs")</x:f>
        <x:v>2000</x:v>
      </x:c>
      <x:c r="F12" s="2"/>
      <x:c r="G12" s="17"/>
      <x:c r="H12" s="17"/>
    </x:row>
    <x:row r="13" ht="24" customHeight="1">
      <x:c r="A13" s="2" t="str">
        <x:v>Acceptance target</x:v>
      </x:c>
      <x:c r="B13" s="2"/>
      <x:c r="C13" s="2" t="str">
        <x:f>IF(C59="OK",C60,"Check workflow inputs")</x:f>
        <x:v>Meets target</x:v>
      </x:c>
      <x:c r="D13" s="2" t="str">
        <x:f>IF(D59="OK",D60,"Check workflow inputs")</x:f>
        <x:v>Meets target</x:v>
      </x:c>
      <x:c r="E13" s="2" t="str">
        <x:f>IF(E59&lt;&gt;"OK","Check baseline inputs",IF($C$24&gt;=$C$21,"Meets target","Below target"))</x:f>
        <x:v>Meets target</x:v>
      </x:c>
      <x:c r="F13" s="2"/>
      <x:c r="G13" s="2"/>
      <x:c r="H13" s="2"/>
    </x:row>
    <x:row r="14" ht="24" customHeight="1">
      <x:c r="A14" s="2" t="str">
        <x:v>Model and external API charges</x:v>
      </x:c>
      <x:c r="B14" s="2"/>
      <x:c r="C14" s="10" t="n">
        <x:f>IF(C59="OK",C65,"Check workflow inputs")</x:f>
        <x:v>303.88</x:v>
      </x:c>
      <x:c r="D14" s="10" t="n">
        <x:f>IF(D59="OK",D65,"Check workflow inputs")</x:f>
        <x:v>176.58</x:v>
      </x:c>
      <x:c r="E14" s="9" t="str">
        <x:v>Not included</x:v>
      </x:c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5" customHeight="1">
      <x:c r="A16" s="7" t="str">
        <x:v>Define the task and cost boundary</x:v>
      </x:c>
      <x:c r="B16" s="7"/>
      <x:c r="C16" s="7"/>
      <x:c r="D16" s="7"/>
      <x:c r="E16" s="7"/>
      <x:c r="F16" s="2"/>
      <x:c r="G16" s="2"/>
      <x:c r="H16" s="2"/>
    </x:row>
    <x:row r="17" ht="24" customHeight="1">
      <x:c r="A17" s="2" t="str">
        <x:v>Task / workflow</x:v>
      </x:c>
      <x:c r="B17" s="2"/>
      <x:c r="C17" s="19" t="str">
        <x:v>Prepare a complete, authorized response to one customer request</x:v>
      </x:c>
      <x:c r="D17" s="19"/>
      <x:c r="E17" s="19"/>
      <x:c r="F17" s="19"/>
      <x:c r="G17" s="19"/>
      <x:c r="H17" s="19"/>
    </x:row>
    <x:row r="18" ht="24" customHeight="1">
      <x:c r="A18" s="2" t="str">
        <x:v>Acceptance rule</x:v>
      </x:c>
      <x:c r="B18" s="2"/>
      <x:c r="C18" s="19" t="str">
        <x:v>Correct, policy-aligned result accepted by the accountable owner</x:v>
      </x:c>
      <x:c r="D18" s="19"/>
      <x:c r="E18" s="19"/>
      <x:c r="F18" s="19"/>
      <x:c r="G18" s="19"/>
      <x:c r="H18" s="19"/>
    </x:row>
    <x:row r="19" ht="24" customHeight="1">
      <x:c r="A19" s="2" t="str">
        <x:v>Unique tasks per month</x:v>
      </x:c>
      <x:c r="B19" s="2"/>
      <x:c r="C19" s="19" t="n">
        <x:v>10000</x:v>
      </x:c>
      <x:c r="D19" s="2"/>
      <x:c r="E19" s="2"/>
      <x:c r="F19" s="2"/>
      <x:c r="G19" s="2"/>
      <x:c r="H19" s="2"/>
    </x:row>
    <x:row r="20" ht="24" customHeight="1">
      <x:c r="A20" s="2" t="str">
        <x:v>Implementation allocation (months)</x:v>
      </x:c>
      <x:c r="B20" s="2"/>
      <x:c r="C20" s="19" t="n">
        <x:v>12</x:v>
      </x:c>
      <x:c r="D20" s="2"/>
      <x:c r="E20" s="2"/>
      <x:c r="F20" s="2"/>
      <x:c r="G20" s="2"/>
      <x:c r="H20" s="2"/>
    </x:row>
    <x:row r="21" ht="24" customHeight="1">
      <x:c r="A21" s="2" t="str">
        <x:v>Minimum accepted fraction</x:v>
      </x:c>
      <x:c r="B21" s="2"/>
      <x:c r="C21" s="20" t="n">
        <x:v>0.95</x:v>
      </x:c>
      <x:c r="D21" s="2"/>
      <x:c r="E21" s="2"/>
      <x:c r="F21" s="2"/>
      <x:c r="G21" s="2"/>
      <x:c r="H21" s="2"/>
    </x:row>
    <x:row r="22" ht="24" customHeight="1">
      <x:c r="A22" s="2" t="str">
        <x:v>Manual minutes per original task</x:v>
      </x:c>
      <x:c r="B22" s="2"/>
      <x:c r="C22" s="19" t="n">
        <x:v>12</x:v>
      </x:c>
      <x:c r="D22" s="2"/>
      <x:c r="E22" s="2"/>
      <x:c r="F22" s="2"/>
      <x:c r="G22" s="2"/>
      <x:c r="H22" s="2"/>
    </x:row>
    <x:row r="23" ht="24" customHeight="1">
      <x:c r="A23" s="2" t="str">
        <x:v>Manual loaded rate per hour</x:v>
      </x:c>
      <x:c r="B23" s="2"/>
      <x:c r="C23" s="19" t="n">
        <x:v>60</x:v>
      </x:c>
      <x:c r="D23" s="2"/>
      <x:c r="E23" s="2"/>
      <x:c r="F23" s="2"/>
      <x:c r="G23" s="2"/>
      <x:c r="H23" s="2"/>
    </x:row>
    <x:row r="24" ht="24" customHeight="1">
      <x:c r="A24" s="2" t="str">
        <x:v>Manual accepted fraction</x:v>
      </x:c>
      <x:c r="B24" s="2"/>
      <x:c r="C24" s="20" t="n">
        <x:v>0.98</x:v>
      </x:c>
      <x:c r="D24" s="2"/>
      <x:c r="E24" s="2"/>
      <x:c r="F24" s="2"/>
      <x:c r="G24" s="2"/>
      <x:c r="H24" s="2"/>
    </x:row>
    <x:row r="25" ht="24" customHeight="1">
      <x:c r="A25" s="2" t="str">
        <x:v>Configuration</x:v>
      </x:c>
      <x:c r="B25" s="2"/>
      <x:c r="C25" s="19" t="str">
        <x:v>Hosted general model</x:v>
      </x:c>
      <x:c r="D25" s="19" t="str">
        <x:v>Small model + escalation</x:v>
      </x:c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7" t="str">
        <x:v>Workflow assumptions</x:v>
      </x:c>
      <x:c r="B27" s="7"/>
      <x:c r="C27" s="7"/>
      <x:c r="D27" s="7"/>
      <x:c r="E27" s="7"/>
      <x:c r="F27" s="2"/>
      <x:c r="G27" s="2"/>
      <x:c r="H27" s="2"/>
    </x:row>
    <x:row r="28" ht="35" customHeight="1">
      <x:c r="A28" s="2" t="str">
        <x:v>Accepted without human intervention</x:v>
      </x:c>
      <x:c r="B28" s="2"/>
      <x:c r="C28" s="20" t="n">
        <x:v>0.8</x:v>
      </x:c>
      <x:c r="D28" s="20" t="n">
        <x:v>0.65</x:v>
      </x:c>
      <x:c r="E28" s="2"/>
      <x:c r="F28" s="2"/>
      <x:c r="G28" s="17" t="str">
        <x:v>A unique task belongs to one final outcome only.</x:v>
      </x:c>
      <x:c r="H28" s="17"/>
    </x:row>
    <x:row r="29" ht="35" customHeight="1">
      <x:c r="A29" s="2" t="str">
        <x:v>Additional tasks accepted after review</x:v>
      </x:c>
      <x:c r="B29" s="2"/>
      <x:c r="C29" s="20" t="n">
        <x:v>0.15</x:v>
      </x:c>
      <x:c r="D29" s="20" t="n">
        <x:v>0.3</x:v>
      </x:c>
      <x:c r="E29" s="2"/>
      <x:c r="F29" s="2"/>
      <x:c r="G29" s="17" t="str">
        <x:v>Fraction of all original tasks, not a conditional success rate.</x:v>
      </x:c>
      <x:c r="H29" s="17"/>
    </x:row>
    <x:row r="30" ht="35" customHeight="1">
      <x:c r="A30" s="2" t="str">
        <x:v>Fraction of original tasks reviewed</x:v>
      </x:c>
      <x:c r="B30" s="2"/>
      <x:c r="C30" s="20" t="n">
        <x:v>0.2</x:v>
      </x:c>
      <x:c r="D30" s="20" t="n">
        <x:v>0.35</x:v>
      </x:c>
      <x:c r="E30" s="2"/>
      <x:c r="F30" s="2"/>
      <x:c r="G30" s="17" t="str">
        <x:v>Includes review of tasks that still fail acceptance.</x:v>
      </x:c>
      <x:c r="H30" s="17"/>
    </x:row>
    <x:row r="31" ht="24" customHeight="1">
      <x:c r="A31" s="2" t="str">
        <x:v>Minutes per reviewed task</x:v>
      </x:c>
      <x:c r="B31" s="2"/>
      <x:c r="C31" s="19" t="n">
        <x:v>3</x:v>
      </x:c>
      <x:c r="D31" s="19" t="n">
        <x:v>4</x:v>
      </x:c>
      <x:c r="E31" s="2"/>
      <x:c r="F31" s="2"/>
      <x:c r="G31" s="2"/>
      <x:c r="H31" s="2"/>
    </x:row>
    <x:row r="32" ht="35" customHeight="1">
      <x:c r="A32" s="2" t="str">
        <x:v>Extra rework minutes per original task</x:v>
      </x:c>
      <x:c r="B32" s="2"/>
      <x:c r="C32" s="19" t="n">
        <x:v>0.5</x:v>
      </x:c>
      <x:c r="D32" s="19" t="n">
        <x:v>0.8</x:v>
      </x:c>
      <x:c r="E32" s="2"/>
      <x:c r="F32" s="2"/>
      <x:c r="G32" s="17" t="str">
        <x:v>Extra effort beyond review. Include failed attempts.</x:v>
      </x:c>
      <x:c r="H32" s="17"/>
    </x:row>
    <x:row r="33" ht="24" customHeight="1">
      <x:c r="A33" s="2" t="str">
        <x:v>Loaded human rate per hour</x:v>
      </x:c>
      <x:c r="B33" s="2"/>
      <x:c r="C33" s="21" t="n">
        <x:v>60</x:v>
      </x:c>
      <x:c r="D33" s="21" t="n">
        <x:v>60</x:v>
      </x:c>
      <x:c r="E33" s="2"/>
      <x:c r="F33" s="2"/>
      <x:c r="G33" s="2"/>
      <x:c r="H33" s="2"/>
    </x:row>
    <x:row r="34" ht="35" customHeight="1">
      <x:c r="A34" s="2" t="str">
        <x:v>Hosting / hardware allocation per month</x:v>
      </x:c>
      <x:c r="B34" s="2"/>
      <x:c r="C34" s="21" t="n">
        <x:v>200</x:v>
      </x:c>
      <x:c r="D34" s="21" t="n">
        <x:v>700</x:v>
      </x:c>
      <x:c r="E34" s="2"/>
      <x:c r="F34" s="2"/>
      <x:c r="G34" s="17" t="str">
        <x:v>Include local inference hardware and electricity here if fixed.</x:v>
      </x:c>
      <x:c r="H34" s="17"/>
    </x:row>
    <x:row r="35" ht="35" customHeight="1">
      <x:c r="A35" s="2" t="str">
        <x:v>Platform / licences per month</x:v>
      </x:c>
      <x:c r="B35" s="2"/>
      <x:c r="C35" s="21" t="n">
        <x:v>100</x:v>
      </x:c>
      <x:c r="D35" s="21" t="n">
        <x:v>100</x:v>
      </x:c>
      <x:c r="E35" s="2"/>
      <x:c r="F35" s="2"/>
      <x:c r="G35" s="17" t="str">
        <x:v>Avoid repeating vendor fees counted in External calls.</x:v>
      </x:c>
      <x:c r="H35" s="17"/>
    </x:row>
    <x:row r="36" ht="35" customHeight="1">
      <x:c r="A36" s="2" t="str">
        <x:v>Maintenance / engineering hours per month</x:v>
      </x:c>
      <x:c r="B36" s="2"/>
      <x:c r="C36" s="19" t="n">
        <x:v>4</x:v>
      </x:c>
      <x:c r="D36" s="19" t="n">
        <x:v>6</x:v>
      </x:c>
      <x:c r="E36" s="2"/>
      <x:c r="F36" s="2"/>
      <x:c r="G36" s="17" t="str">
        <x:v>Routine operation, prompt changes and integration upkeep.</x:v>
      </x:c>
      <x:c r="H36" s="17"/>
    </x:row>
    <x:row r="37" ht="35" customHeight="1">
      <x:c r="A37" s="2" t="str">
        <x:v>Governance / evaluation hours per month</x:v>
      </x:c>
      <x:c r="B37" s="2"/>
      <x:c r="C37" s="19" t="n">
        <x:v>2</x:v>
      </x:c>
      <x:c r="D37" s="19" t="n">
        <x:v>3</x:v>
      </x:c>
      <x:c r="E37" s="2"/>
      <x:c r="F37" s="2"/>
      <x:c r="G37" s="17" t="str">
        <x:v>Evaluation runs, evidence review and operational assurance.</x:v>
      </x:c>
      <x:c r="H37" s="17"/>
    </x:row>
    <x:row r="38" ht="35" customHeight="1">
      <x:c r="A38" s="2" t="str">
        <x:v>One-time implementation cost</x:v>
      </x:c>
      <x:c r="B38" s="2"/>
      <x:c r="C38" s="21" t="n">
        <x:v>5000</x:v>
      </x:c>
      <x:c r="D38" s="21" t="n">
        <x:v>8000</x:v>
      </x:c>
      <x:c r="E38" s="2"/>
      <x:c r="F38" s="2"/>
      <x:c r="G38" s="17" t="str">
        <x:v>Integration, initial evaluation, training and change costs.</x:v>
      </x:c>
      <x:c r="H38" s="17"/>
    </x:row>
    <x:row r="39" ht="35" customHeight="1">
      <x:c r="A39" s="2" t="str">
        <x:v>Variable hosting cost per original task</x:v>
      </x:c>
      <x:c r="B39" s="2"/>
      <x:c r="C39" s="22" t="n">
        <x:v>0.01</x:v>
      </x:c>
      <x:c r="D39" s="22" t="n">
        <x:v>0.005</x:v>
      </x:c>
      <x:c r="E39" s="2"/>
      <x:c r="F39" s="2"/>
      <x:c r="G39" s="17" t="str">
        <x:v>Use for variable compute, energy or storage not billed elsewhere.</x:v>
      </x:c>
      <x:c r="H39" s="17"/>
    </x:row>
    <x:row r="40" ht="35" customHeight="1">
      <x:c r="A40" s="2" t="str">
        <x:v>Other variable cost per original task</x:v>
      </x:c>
      <x:c r="B40" s="2"/>
      <x:c r="C40" s="22" t="n">
        <x:v>0.005</x:v>
      </x:c>
      <x:c r="D40" s="22" t="n">
        <x:v>0.005</x:v>
      </x:c>
      <x:c r="E40" s="2"/>
      <x:c r="F40" s="2"/>
      <x:c r="G40" s="17" t="str">
        <x:v>Include additional per-task expenses once.</x:v>
      </x:c>
      <x:c r="H40" s="17"/>
    </x:row>
    <x:row r="41" ht="35" customHeight="1">
      <x:c r="A41" s="2" t="str">
        <x:v>Model charges per original task</x:v>
      </x:c>
      <x:c r="B41" s="2"/>
      <x:c r="C41" s="24" t="n">
        <x:f>IF(COUNTIFS('Model calls'!$A$7:$A$18,"A")+COUNTIFS('Model calls'!$A$7:$A$18,"B")&lt;&gt;12,"Check workflow IDs",IF(COUNTIFS('Model calls'!$A$7:$A$18,"A",'Model calls'!$H$7:$H$18,"Check model stage")&gt;0,"Check model calls",SUMIFS('Model calls'!$H$7:$H$18,'Model calls'!$A$7:$A$18,"A")))</x:f>
        <x:v>0.019768</x:v>
      </x:c>
      <x:c r="D41" s="24" t="n">
        <x:f>IF(COUNTIFS('Model calls'!$A$7:$A$18,"A")+COUNTIFS('Model calls'!$A$7:$A$18,"B")&lt;&gt;12,"Check workflow IDs",IF(COUNTIFS('Model calls'!$A$7:$A$18,"B",'Model calls'!$H$7:$H$18,"Check model stage")&gt;0,"Check model calls",SUMIFS('Model calls'!$H$7:$H$18,'Model calls'!$A$7:$A$18,"B")))</x:f>
        <x:v>0.005698</x:v>
      </x:c>
      <x:c r="E41" s="2"/>
      <x:c r="F41" s="2"/>
      <x:c r="G41" s="17" t="str">
        <x:v>Routing, retries and token categories are in Model calls.</x:v>
      </x:c>
      <x:c r="H41" s="17"/>
    </x:row>
    <x:row r="42" ht="35" customHeight="1">
      <x:c r="A42" s="2" t="str">
        <x:v>External calls per original task</x:v>
      </x:c>
      <x:c r="B42" s="2"/>
      <x:c r="C42" s="24" t="n">
        <x:f>IF(COUNTIFS('External calls'!$A$7:$A$18,"A")+COUNTIFS('External calls'!$A$7:$A$18,"B")&lt;&gt;12,"Check workflow IDs",IF(COUNTIFS('External calls'!$A$7:$A$18,"A",'External calls'!$I$7:$I$18,"Check external call")&gt;0,"Check external calls",SUMIFS('External calls'!$I$7:$I$18,'External calls'!$A$7:$A$18,"A")))</x:f>
        <x:v>0.010620000000000001</x:v>
      </x:c>
      <x:c r="D42" s="24" t="n">
        <x:f>IF(COUNTIFS('External calls'!$A$7:$A$18,"A")+COUNTIFS('External calls'!$A$7:$A$18,"B")&lt;&gt;12,"Check workflow IDs",IF(COUNTIFS('External calls'!$A$7:$A$18,"B",'External calls'!$I$7:$I$18,"Check external call")&gt;0,"Check external calls",SUMIFS('External calls'!$I$7:$I$18,'External calls'!$A$7:$A$18,"B")))</x:f>
        <x:v>0.011959999999999998</x:v>
      </x:c>
      <x:c r="E42" s="2"/>
      <x:c r="F42" s="2"/>
      <x:c r="G42" s="17" t="str">
        <x:v>Search, retrieval, OCR and business APIs are in External calls.</x:v>
      </x:c>
      <x:c r="H42" s="17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7" t="str">
        <x:v>Trace the calculation</x:v>
      </x:c>
      <x:c r="B45" s="7"/>
      <x:c r="C45" s="7"/>
      <x:c r="D45" s="7"/>
      <x:c r="E45" s="7"/>
      <x:c r="F45" s="2"/>
      <x:c r="G45" s="2"/>
      <x:c r="H45" s="2"/>
    </x:row>
    <x:row r="46" ht="24" customHeight="1">
      <x:c r="A46" s="2" t="str">
        <x:v>Review labor per original task</x:v>
      </x:c>
      <x:c r="B46" s="2"/>
      <x:c r="C46" s="10" t="n">
        <x:f>C30*C31/60*C33</x:f>
        <x:v>0.6000000000000001</x:v>
      </x:c>
      <x:c r="D46" s="10" t="n">
        <x:f>D30*D31/60*D33</x:f>
        <x:v>1.4</x:v>
      </x:c>
      <x:c r="E46" s="2"/>
      <x:c r="F46" s="2"/>
      <x:c r="G46" s="2"/>
      <x:c r="H46" s="2"/>
    </x:row>
    <x:row r="47" ht="24" customHeight="1">
      <x:c r="A47" s="2" t="str">
        <x:v>Rework labor per original task</x:v>
      </x:c>
      <x:c r="B47" s="2"/>
      <x:c r="C47" s="10" t="n">
        <x:f>C32/60*C33</x:f>
        <x:v>0.5</x:v>
      </x:c>
      <x:c r="D47" s="10" t="n">
        <x:f>D32/60*D33</x:f>
        <x:v>0.8</x:v>
      </x:c>
      <x:c r="E47" s="2"/>
      <x:c r="F47" s="2"/>
      <x:c r="G47" s="2"/>
      <x:c r="H47" s="2"/>
    </x:row>
    <x:row r="48" ht="24" customHeight="1">
      <x:c r="A48" s="2" t="str">
        <x:v>Machine and external cost per original task</x:v>
      </x:c>
      <x:c r="B48" s="2"/>
      <x:c r="C48" s="10" t="n">
        <x:f>SUM(C39:C42)</x:f>
        <x:v>0.045388</x:v>
      </x:c>
      <x:c r="D48" s="10" t="n">
        <x:f>SUM(D39:D42)</x:f>
        <x:v>0.027658</x:v>
      </x:c>
      <x:c r="E48" s="2"/>
      <x:c r="F48" s="2"/>
      <x:c r="G48" s="2"/>
      <x:c r="H48" s="2"/>
    </x:row>
    <x:row r="49" ht="24" customHeight="1">
      <x:c r="A49" s="15" t="str">
        <x:v>Total variable cost per original task</x:v>
      </x:c>
      <x:c r="B49" s="15"/>
      <x:c r="C49" s="16" t="n">
        <x:f>SUM(C46:C48)</x:f>
        <x:v>1.145388</x:v>
      </x:c>
      <x:c r="D49" s="16" t="n">
        <x:f>SUM(D46:D48)</x:f>
        <x:v>2.2276580000000004</x:v>
      </x:c>
      <x:c r="E49" s="15"/>
      <x:c r="F49" s="2"/>
      <x:c r="G49" s="2"/>
      <x:c r="H49" s="2"/>
    </x:row>
    <x:row r="50" ht="24" customHeight="1">
      <x:c r="A50" s="2" t="str">
        <x:v>Maintenance and governance cost per month</x:v>
      </x:c>
      <x:c r="B50" s="2"/>
      <x:c r="C50" s="10" t="n">
        <x:f>SUM(C36:C37)*C33</x:f>
        <x:v>360</x:v>
      </x:c>
      <x:c r="D50" s="10" t="n">
        <x:f>SUM(D36:D37)*D33</x:f>
        <x:v>540</x:v>
      </x:c>
      <x:c r="E50" s="2"/>
      <x:c r="F50" s="2"/>
      <x:c r="G50" s="2"/>
      <x:c r="H50" s="2"/>
    </x:row>
    <x:row r="51" ht="24" customHeight="1">
      <x:c r="A51" s="2" t="str">
        <x:v>Fixed recurring cost per month</x:v>
      </x:c>
      <x:c r="B51" s="2"/>
      <x:c r="C51" s="10" t="n">
        <x:f>SUM(C34:C35)+C50</x:f>
        <x:v>660</x:v>
      </x:c>
      <x:c r="D51" s="10" t="n">
        <x:f>SUM(D34:D35)+D50</x:f>
        <x:v>1340</x:v>
      </x:c>
      <x:c r="E51" s="2"/>
      <x:c r="F51" s="2"/>
      <x:c r="G51" s="2"/>
      <x:c r="H51" s="2"/>
    </x:row>
    <x:row r="52" ht="24" customHeight="1">
      <x:c r="A52" s="2" t="str">
        <x:v>Implementation allocation per month</x:v>
      </x:c>
      <x:c r="B52" s="2"/>
      <x:c r="C52" s="10" t="n">
        <x:f>IF($C$20&gt;0,C38/$C$20,"Check allocation period")</x:f>
        <x:v>416.6666666666667</x:v>
      </x:c>
      <x:c r="D52" s="10" t="n">
        <x:f>IF($C$20&gt;0,D38/$C$20,"Check allocation period")</x:f>
        <x:v>666.6666666666666</x:v>
      </x:c>
      <x:c r="E52" s="2"/>
      <x:c r="F52" s="2"/>
      <x:c r="G52" s="2"/>
      <x:c r="H52" s="2"/>
    </x:row>
    <x:row r="53" ht="24" customHeight="1">
      <x:c r="A53" s="2" t="str">
        <x:v>Total variable cost per month</x:v>
      </x:c>
      <x:c r="B53" s="2"/>
      <x:c r="C53" s="10" t="n">
        <x:f>C49*$C$19</x:f>
        <x:v>11453.880000000001</x:v>
      </x:c>
      <x:c r="D53" s="10" t="n">
        <x:f>D49*$C$19</x:f>
        <x:v>22276.580000000005</x:v>
      </x:c>
      <x:c r="E53" s="2"/>
      <x:c r="F53" s="2"/>
      <x:c r="G53" s="2"/>
      <x:c r="H53" s="2"/>
    </x:row>
    <x:row r="54" ht="24" customHeight="1">
      <x:c r="A54" s="15" t="str">
        <x:v>Fully allocated monthly cost</x:v>
      </x:c>
      <x:c r="B54" s="15"/>
      <x:c r="C54" s="16" t="n">
        <x:f>SUM(C51:C53)</x:f>
        <x:v>12530.546666666667</x:v>
      </x:c>
      <x:c r="D54" s="16" t="n">
        <x:f>SUM(D51:D53)</x:f>
        <x:v>24283.246666666673</x:v>
      </x:c>
      <x:c r="E54" s="15"/>
      <x:c r="F54" s="2"/>
      <x:c r="G54" s="2"/>
      <x:c r="H54" s="2"/>
    </x:row>
    <x:row r="55" ht="24" customHeight="1">
      <x:c r="A55" s="2" t="str">
        <x:v>Accepted fraction</x:v>
      </x:c>
      <x:c r="B55" s="2"/>
      <x:c r="C55" s="11" t="n">
        <x:f>SUM(C28:C29)</x:f>
        <x:v>0.9500000000000001</x:v>
      </x:c>
      <x:c r="D55" s="11" t="n">
        <x:f>SUM(D28:D29)</x:f>
        <x:v>0.95</x:v>
      </x:c>
      <x:c r="E55" s="2"/>
      <x:c r="F55" s="2"/>
      <x:c r="G55" s="2"/>
      <x:c r="H55" s="2"/>
    </x:row>
    <x:row r="56" ht="24" customHeight="1">
      <x:c r="A56" s="2" t="str">
        <x:v>Expected accepted results per month</x:v>
      </x:c>
      <x:c r="B56" s="2"/>
      <x:c r="C56" s="12" t="n">
        <x:f>$C$19*C55</x:f>
        <x:v>9500</x:v>
      </x:c>
      <x:c r="D56" s="12" t="n">
        <x:f>$C$19*D55</x:f>
        <x:v>9500</x:v>
      </x:c>
      <x:c r="E56" s="2"/>
      <x:c r="F56" s="2"/>
      <x:c r="G56" s="2"/>
      <x:c r="H56" s="2"/>
    </x:row>
    <x:row r="57" ht="24" customHeight="1">
      <x:c r="A57" s="2" t="str">
        <x:v>Total human effort per month (hours)</x:v>
      </x:c>
      <x:c r="B57" s="2"/>
      <x:c r="C57" s="12" t="n">
        <x:f>$C$19*(C30*C31+C32)/60+SUM(C36:C37)</x:f>
        <x:v>189.33333333333334</x:v>
      </x:c>
      <x:c r="D57" s="12" t="n">
        <x:f>$C$19*(D30*D31+D32)/60+SUM(D36:D37)</x:f>
        <x:v>375.6666666666667</x:v>
      </x:c>
      <x:c r="E57" s="2"/>
      <x:c r="F57" s="2"/>
      <x:c r="G57" s="2"/>
      <x:c r="H57" s="2"/>
    </x:row>
    <x:row r="58" ht="24" customHeight="1">
      <x:c r="A58" s="15" t="str">
        <x:v>Fully allocated cost per accepted result</x:v>
      </x:c>
      <x:c r="B58" s="15"/>
      <x:c r="C58" s="16" t="n">
        <x:f>IF(C59&lt;&gt;"OK","Check workflow inputs",IF(C56&gt;0,C54/C56,"No accepted results"))</x:f>
        <x:v>1.3190049122807017</x:v>
      </x:c>
      <x:c r="D58" s="16" t="n">
        <x:f>IF(D59&lt;&gt;"OK","Check workflow inputs",IF(D56&gt;0,D54/D56,"No accepted results"))</x:f>
        <x:v>2.5561312280701762</x:v>
      </x:c>
      <x:c r="E58" s="15"/>
      <x:c r="F58" s="2"/>
      <x:c r="G58" s="2"/>
      <x:c r="H58" s="2"/>
    </x:row>
    <x:row r="59" ht="24" customHeight="1">
      <x:c r="A59" s="2" t="str">
        <x:v>Input validation</x:v>
      </x:c>
      <x:c r="B59" s="2"/>
      <x:c r="C59" s="2" t="str">
        <x:f>IF(AND(COUNT(C28:C42)=15,COUNTBLANK(C28:C42)=0,COUNTBLANK($C$19:$C$24)=0,MIN(C28:C42)&gt;=0,C28&lt;=1,C29&lt;=1,C30&lt;=1,C55&lt;=1,C29&lt;=C30,COUNT($C$19:$C$24)=6,COUNTBLANK($C$19:$C$24)=0,$C$19&gt;=0,$C$19=INT($C$19),$C$20&gt;0,$C$20=INT($C$20),$C$21&gt;=0,$C$21&lt;=1,$C$22&gt;=0,$C$23&gt;=0,$C$24&gt;=0,$C$24&lt;=1),"OK","Check inputs and call plans")</x:f>
        <x:v>OK</x:v>
      </x:c>
      <x:c r="D59" s="2" t="str">
        <x:f>IF(AND(COUNT(D28:D42)=15,COUNTBLANK(D28:D42)=0,COUNTBLANK($C$19:$C$24)=0,MIN(D28:D42)&gt;=0,D28&lt;=1,D29&lt;=1,D30&lt;=1,D55&lt;=1,D29&lt;=D30,COUNT($C$19:$C$24)=6,COUNTBLANK($C$19:$C$24)=0,$C$19&gt;=0,$C$19=INT($C$19),$C$20&gt;0,$C$20=INT($C$20),$C$21&gt;=0,$C$21&lt;=1,$C$22&gt;=0,$C$23&gt;=0,$C$24&gt;=0,$C$24&lt;=1),"OK","Check inputs and call plans")</x:f>
        <x:v>OK</x:v>
      </x:c>
      <x:c r="E59" s="2" t="str">
        <x:f>IF(AND(COUNT($C$19:$C$24)=6,COUNTBLANK($C$19:$C$24)=0,$C$19&gt;=0,$C$19=INT($C$19),$C$20&gt;0,$C$21&gt;=0,$C$21&lt;=1,$C$22&gt;=0,$C$23&gt;=0,$C$24&gt;=0,$C$24&lt;=1),"OK","Check baseline inputs")</x:f>
        <x:v>OK</x:v>
      </x:c>
      <x:c r="F59" s="2"/>
      <x:c r="G59" s="2"/>
      <x:c r="H59" s="2"/>
    </x:row>
    <x:row r="60" ht="24" customHeight="1">
      <x:c r="A60" s="2" t="str">
        <x:v>Acceptance target</x:v>
      </x:c>
      <x:c r="B60" s="2"/>
      <x:c r="C60" s="2" t="str">
        <x:f>IF(C55&gt;=$C$21,"Meets target","Below target")</x:f>
        <x:v>Meets target</x:v>
      </x:c>
      <x:c r="D60" s="2" t="str">
        <x:f>IF(D55&gt;=$C$21,"Meets target","Below target")</x:f>
        <x:v>Meets target</x:v>
      </x:c>
      <x:c r="E60" s="2"/>
      <x:c r="F60" s="2"/>
      <x:c r="G60" s="2"/>
      <x:c r="H60" s="2"/>
    </x:row>
    <x:row r="61" ht="24" customHeight="1">
      <x:c r="A61" s="2" t="str">
        <x:v>Fixed cost including implementation allocation</x:v>
      </x:c>
      <x:c r="B61" s="2"/>
      <x:c r="C61" s="10" t="n">
        <x:f>SUM(C51:C52)</x:f>
        <x:v>1076.6666666666667</x:v>
      </x:c>
      <x:c r="D61" s="10" t="n">
        <x:f>SUM(D51:D52)</x:f>
        <x:v>2006.6666666666665</x:v>
      </x:c>
      <x:c r="E61" s="2"/>
      <x:c r="F61" s="2"/>
      <x:c r="G61" s="2"/>
      <x:c r="H61" s="2"/>
    </x:row>
    <x:row r="62" ht="24" customHeight="1">
      <x:c r="A62" s="2" t="str">
        <x:v>Recurring monthly cost</x:v>
      </x:c>
      <x:c r="B62" s="2"/>
      <x:c r="C62" s="10" t="n">
        <x:f>SUM(C51,C53)</x:f>
        <x:v>12113.880000000001</x:v>
      </x:c>
      <x:c r="D62" s="10" t="n">
        <x:f>SUM(D51,D53)</x:f>
        <x:v>23616.580000000005</x:v>
      </x:c>
      <x:c r="E62" s="2"/>
      <x:c r="F62" s="2"/>
      <x:c r="G62" s="2"/>
      <x:c r="H62" s="2"/>
    </x:row>
    <x:row r="63" ht="24" customHeight="1">
      <x:c r="A63" s="15" t="str">
        <x:v>Recurring cost per accepted result</x:v>
      </x:c>
      <x:c r="B63" s="15"/>
      <x:c r="C63" s="16" t="n">
        <x:f>IF(C59&lt;&gt;"OK","Check workflow inputs",IF(C56&gt;0,C62/C56,"No accepted results"))</x:f>
        <x:v>1.2751452631578948</x:v>
      </x:c>
      <x:c r="D63" s="16" t="n">
        <x:f>IF(D59&lt;&gt;"OK","Check workflow inputs",IF(D56&gt;0,D62/D56,"No accepted results"))</x:f>
        <x:v>2.485955789473685</x:v>
      </x:c>
      <x:c r="E63" s="15"/>
      <x:c r="F63" s="2"/>
      <x:c r="G63" s="2"/>
      <x:c r="H63" s="2"/>
    </x:row>
    <x:row r="64" ht="24" customHeight="1">
      <x:c r="A64" s="2" t="str">
        <x:v>Expected unaccepted tasks</x:v>
      </x:c>
      <x:c r="B64" s="2"/>
      <x:c r="C64" s="12" t="n">
        <x:f>$C$19-C56</x:f>
        <x:v>500</x:v>
      </x:c>
      <x:c r="D64" s="12" t="n">
        <x:f>$C$19-D56</x:f>
        <x:v>500</x:v>
      </x:c>
      <x:c r="E64" s="2"/>
      <x:c r="F64" s="2"/>
      <x:c r="G64" s="2"/>
      <x:c r="H64" s="2"/>
    </x:row>
    <x:row r="65" ht="24" customHeight="1">
      <x:c r="A65" s="2" t="str">
        <x:v>Model and external API charges per month</x:v>
      </x:c>
      <x:c r="B65" s="2"/>
      <x:c r="C65" s="10" t="n">
        <x:f>$C$19*SUM(C41:C42)</x:f>
        <x:v>303.88</x:v>
      </x:c>
      <x:c r="D65" s="10" t="n">
        <x:f>$C$19*SUM(D41:D42)</x:f>
        <x:v>176.58</x:v>
      </x:c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3" customHeight="1">
      <x:c r="A68" s="25" t="str">
        <x:v>Use measured task mix, not vendor benchmarks. All seeded rates and outcomes are synthetic.</x:v>
      </x:c>
      <x:c r="B68" s="2"/>
      <x:c r="C68" s="2"/>
      <x:c r="D68" s="2"/>
      <x:c r="E68" s="2"/>
      <x:c r="F68" s="2"/>
      <x:c r="G68" s="2"/>
      <x:c r="H68" s="2"/>
    </x:row>
    <x:row r="69" ht="23" customHeight="1">
      <x:c r="A69" s="25" t="str">
        <x:v>Unaccepted tasks stay in the cost numerator. Further manual rescue is excluded unless entered as rework.</x:v>
      </x:c>
      <x:c r="B69" s="2"/>
      <x:c r="C69" s="2"/>
      <x:c r="D69" s="2"/>
      <x:c r="E69" s="2"/>
      <x:c r="F69" s="2"/>
      <x:c r="G69" s="2"/>
      <x:c r="H69" s="2"/>
    </x:row>
    <x:row r="70" ht="23" customHeight="1">
      <x:c r="A70" s="25" t="str">
        <x:v>Token counts include all billable output. Do not add reasoning tokens a second time.</x:v>
      </x:c>
      <x:c r="B70" s="2"/>
      <x:c r="C70" s="2"/>
      <x:c r="D70" s="2"/>
      <x:c r="E70" s="2"/>
      <x:c r="F70" s="2"/>
      <x:c r="G70" s="2"/>
      <x:c r="H70" s="2"/>
    </x:row>
    <x:row r="71" ht="23" customHeight="1">
      <x:c r="A71" s="25" t="str">
        <x:v>No automatic cheapest-option recommendation. Check quality, permissions, latency and capacity separately.</x:v>
      </x:c>
      <x:c r="B71" s="2"/>
      <x:c r="C71" s="2"/>
      <x:c r="D71" s="2"/>
      <x:c r="E71" s="2"/>
      <x:c r="F71" s="2"/>
      <x:c r="G71" s="2"/>
      <x:c r="H71" s="2"/>
    </x:row>
    <x:row r="72" ht="23" customHeight="1">
      <x:c r="A72" s="25" t="str">
        <x:v>Volume assumes constant routing, unit prices and acceptance within available capacity. Reprice at tier changes.</x:v>
      </x:c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3" customHeight="1">
      <x:c r="A74" s="25" t="str">
        <x:v>Source: https://ajithp.com/2026/10/17/ai-token-economics/</x:v>
      </x:c>
      <x:c r="B74" s="2"/>
      <x:c r="C74" s="2"/>
      <x:c r="D74" s="2"/>
      <x:c r="E74" s="2"/>
      <x:c r="F74" s="2"/>
      <x:c r="G74" s="2"/>
      <x:c r="H74" s="2"/>
    </x:row>
    <x:row r="75" ht="23" customHeight="1">
      <x:c r="A75" s="25" t="str">
        <x:v>Original workbook: Ajith Vallath Prabhakar. Reuse: https://ajithp.com/terms-of-use/</x:v>
      </x:c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</x:sheetData>
  <x:mergeCells>
    <x:mergeCell ref="A4:H4"/>
    <x:mergeCell ref="G7:H8"/>
    <x:mergeCell ref="G9:H10"/>
    <x:mergeCell ref="G11:H12"/>
    <x:mergeCell ref="C17:H17"/>
    <x:mergeCell ref="C18:H18"/>
    <x:mergeCell ref="G28:H28"/>
    <x:mergeCell ref="G29:H29"/>
    <x:mergeCell ref="G30:H30"/>
    <x:mergeCell ref="G32:H32"/>
    <x:mergeCell ref="G34:H34"/>
    <x:mergeCell ref="G35:H35"/>
    <x:mergeCell ref="G36:H36"/>
    <x:mergeCell ref="G37:H37"/>
    <x:mergeCell ref="G38:H38"/>
    <x:mergeCell ref="G39:H39"/>
    <x:mergeCell ref="G40:H40"/>
    <x:mergeCell ref="G41:H41"/>
    <x:mergeCell ref="G42:H42"/>
    <x:mergeCell ref="A68:H68"/>
    <x:mergeCell ref="A69:H69"/>
    <x:mergeCell ref="A70:H70"/>
    <x:mergeCell ref="A71:H71"/>
    <x:mergeCell ref="A72:H72"/>
    <x:mergeCell ref="A74:H74"/>
    <x:mergeCell ref="A75:H75"/>
  </x:mergeCells>
  <x:conditionalFormatting sqref="C13:E13">
    <x:cfRule type="containsText" dxfId="0" priority="1" operator="containsText" text="Below"/>
  </x:conditionalFormatting>
  <x:conditionalFormatting sqref="C59:E59">
    <x:cfRule type="containsText" dxfId="1" priority="2" operator="containsText" text="Check"/>
  </x:conditionalFormatting>
  <x:dataValidations count="7">
    <x:dataValidation type="whole" operator="greaterThanOrEqual" sqref="C19">
      <x:formula1>0</x:formula1>
    </x:dataValidation>
    <x:dataValidation type="whole" operator="greaterThan" sqref="C20">
      <x:formula1>0</x:formula1>
    </x:dataValidation>
    <x:dataValidation type="decimal" operator="between" sqref="C21">
      <x:formula1>0</x:formula1>
      <x:formula2>1</x:formula2>
    </x:dataValidation>
    <x:dataValidation type="decimal" operator="between" sqref="C24">
      <x:formula1>0</x:formula1>
      <x:formula2>1</x:formula2>
    </x:dataValidation>
    <x:dataValidation type="decimal" operator="greaterThanOrEqual" sqref="C22:C23">
      <x:formula1>0</x:formula1>
    </x:dataValidation>
    <x:dataValidation type="decimal" operator="greaterThanOrEqual" sqref="C31:D40">
      <x:formula1>0</x:formula1>
    </x:dataValidation>
    <x:dataValidation type="decimal" operator="between" sqref="C28:D30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76E79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Volume and break-even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2" t="str">
        <x:v>Same task mix, routing, acceptance and unit rates at every volume. Capacity and price tiers must be re-evaluated.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26" t="str">
        <x:v>Original tasks / month</x:v>
      </x:c>
      <x:c r="B6" s="26" t="str">
        <x:v>A monthly cost</x:v>
      </x:c>
      <x:c r="C6" s="26" t="str">
        <x:v>B monthly cost</x:v>
      </x:c>
      <x:c r="D6" s="26" t="str">
        <x:v>A cost / accepted</x:v>
      </x:c>
      <x:c r="E6" s="26" t="str">
        <x:v>B cost / accepted</x:v>
      </x:c>
      <x:c r="F6" s="26" t="str">
        <x:v>Manual cost / accepted</x:v>
      </x:c>
      <x:c r="G6" s="2"/>
      <x:c r="H6" s="2"/>
      <x:c r="I6" s="2"/>
      <x:c r="J6" s="2"/>
      <x:c r="K6" s="2"/>
    </x:row>
    <x:row r="7" ht="24" customHeight="1">
      <x:c r="A7" s="29" t="n">
        <x:v>0</x:v>
      </x:c>
      <x:c r="B7" s="10" t="n">
        <x:f>IF(AND(Compare!C59="OK",ISNUMBER(A7),A7&gt;=0,A7=INT(A7)),Compare!C61+A7*Compare!C49,"Check inputs")</x:f>
        <x:v>1076.6666666666667</x:v>
      </x:c>
      <x:c r="C7" s="10" t="n">
        <x:f>IF(AND(Compare!D59="OK",ISNUMBER(A7),A7&gt;=0,A7=INT(A7)),Compare!D61+A7*Compare!D49,"Check inputs")</x:f>
        <x:v>2006.6666666666665</x:v>
      </x:c>
      <x:c r="D7" s="10" t="str">
        <x:f>IF(NOT(ISNUMBER(B7)),"Check inputs",IF(A7*Compare!C55&gt;0,B7/(A7*Compare!C55),"No accepted results"))</x:f>
        <x:v>No accepted results</x:v>
      </x:c>
      <x:c r="E7" s="10" t="str">
        <x:f>IF(NOT(ISNUMBER(C7)),"Check inputs",IF(A7*Compare!D55&gt;0,C7/(A7*Compare!D55),"No accepted results"))</x:f>
        <x:v>No accepted results</x:v>
      </x:c>
      <x:c r="F7" s="10" t="str">
        <x:f>IF(Compare!E59&lt;&gt;"OK","Check baseline inputs",IF(AND(A7&gt;0,Compare!$C$24&gt;0),Compare!$C$22/60*Compare!$C$23/Compare!$C$24,"No accepted results"))</x:f>
        <x:v>No accepted results</x:v>
      </x:c>
      <x:c r="G7" s="2"/>
      <x:c r="H7" s="2"/>
      <x:c r="I7" s="2"/>
      <x:c r="J7" s="2"/>
      <x:c r="K7" s="2"/>
    </x:row>
    <x:row r="8" ht="24" customHeight="1">
      <x:c r="A8" s="29" t="n">
        <x:v>100</x:v>
      </x:c>
      <x:c r="B8" s="10" t="n">
        <x:f>IF(AND(Compare!C59="OK",ISNUMBER(A8),A8&gt;=0,A8=INT(A8)),Compare!C61+A8*Compare!C49,"Check inputs")</x:f>
        <x:v>1191.2054666666668</x:v>
      </x:c>
      <x:c r="C8" s="10" t="n">
        <x:f>IF(AND(Compare!D59="OK",ISNUMBER(A8),A8&gt;=0,A8=INT(A8)),Compare!D61+A8*Compare!D49,"Check inputs")</x:f>
        <x:v>2229.4324666666666</x:v>
      </x:c>
      <x:c r="D8" s="10" t="n">
        <x:f>IF(NOT(ISNUMBER(B8)),"Check inputs",IF(A8*Compare!C55&gt;0,B8/(A8*Compare!C55),"No accepted results"))</x:f>
        <x:v>12.539004912280703</x:v>
      </x:c>
      <x:c r="E8" s="10" t="n">
        <x:f>IF(NOT(ISNUMBER(C8)),"Check inputs",IF(A8*Compare!D55&gt;0,C8/(A8*Compare!D55),"No accepted results"))</x:f>
        <x:v>23.467710175438597</x:v>
      </x:c>
      <x:c r="F8" s="10" t="n">
        <x:f>IF(Compare!E59&lt;&gt;"OK","Check baseline inputs",IF(AND(A8&gt;0,Compare!$C$24&gt;0),Compare!$C$22/60*Compare!$C$23/Compare!$C$24,"No accepted results"))</x:f>
        <x:v>12.244897959183673</x:v>
      </x:c>
      <x:c r="G8" s="2"/>
      <x:c r="H8" s="2"/>
      <x:c r="I8" s="2"/>
      <x:c r="J8" s="2"/>
      <x:c r="K8" s="2"/>
    </x:row>
    <x:row r="9" ht="24" customHeight="1">
      <x:c r="A9" s="29" t="n">
        <x:v>500</x:v>
      </x:c>
      <x:c r="B9" s="10" t="n">
        <x:f>IF(AND(Compare!C59="OK",ISNUMBER(A9),A9&gt;=0,A9=INT(A9)),Compare!C61+A9*Compare!C49,"Check inputs")</x:f>
        <x:v>1649.360666666667</x:v>
      </x:c>
      <x:c r="C9" s="10" t="n">
        <x:f>IF(AND(Compare!D59="OK",ISNUMBER(A9),A9&gt;=0,A9=INT(A9)),Compare!D61+A9*Compare!D49,"Check inputs")</x:f>
        <x:v>3120.4956666666667</x:v>
      </x:c>
      <x:c r="D9" s="10" t="n">
        <x:f>IF(NOT(ISNUMBER(B9)),"Check inputs",IF(A9*Compare!C55&gt;0,B9/(A9*Compare!C55),"No accepted results"))</x:f>
        <x:v>3.472338245614035</x:v>
      </x:c>
      <x:c r="E9" s="10" t="n">
        <x:f>IF(NOT(ISNUMBER(C9)),"Check inputs",IF(A9*Compare!D55&gt;0,C9/(A9*Compare!D55),"No accepted results"))</x:f>
        <x:v>6.5694645614035085</x:v>
      </x:c>
      <x:c r="F9" s="10" t="n">
        <x:f>IF(Compare!E59&lt;&gt;"OK","Check baseline inputs",IF(AND(A9&gt;0,Compare!$C$24&gt;0),Compare!$C$22/60*Compare!$C$23/Compare!$C$24,"No accepted results"))</x:f>
        <x:v>12.244897959183673</x:v>
      </x:c>
      <x:c r="G9" s="2"/>
      <x:c r="H9" s="2"/>
      <x:c r="I9" s="2"/>
      <x:c r="J9" s="2"/>
      <x:c r="K9" s="2"/>
    </x:row>
    <x:row r="10" ht="24" customHeight="1">
      <x:c r="A10" s="29" t="n">
        <x:v>1000</x:v>
      </x:c>
      <x:c r="B10" s="10" t="n">
        <x:f>IF(AND(Compare!C59="OK",ISNUMBER(A10),A10&gt;=0,A10=INT(A10)),Compare!C61+A10*Compare!C49,"Check inputs")</x:f>
        <x:v>2222.054666666667</x:v>
      </x:c>
      <x:c r="C10" s="10" t="n">
        <x:f>IF(AND(Compare!D59="OK",ISNUMBER(A10),A10&gt;=0,A10=INT(A10)),Compare!D61+A10*Compare!D49,"Check inputs")</x:f>
        <x:v>4234.324666666667</x:v>
      </x:c>
      <x:c r="D10" s="10" t="n">
        <x:f>IF(NOT(ISNUMBER(B10)),"Check inputs",IF(A10*Compare!C55&gt;0,B10/(A10*Compare!C55),"No accepted results"))</x:f>
        <x:v>2.3390049122807017</x:v>
      </x:c>
      <x:c r="E10" s="10" t="n">
        <x:f>IF(NOT(ISNUMBER(C10)),"Check inputs",IF(A10*Compare!D55&gt;0,C10/(A10*Compare!D55),"No accepted results"))</x:f>
        <x:v>4.457183859649123</x:v>
      </x:c>
      <x:c r="F10" s="10" t="n">
        <x:f>IF(Compare!E59&lt;&gt;"OK","Check baseline inputs",IF(AND(A10&gt;0,Compare!$C$24&gt;0),Compare!$C$22/60*Compare!$C$23/Compare!$C$24,"No accepted results"))</x:f>
        <x:v>12.244897959183673</x:v>
      </x:c>
      <x:c r="G10" s="2"/>
      <x:c r="H10" s="2"/>
      <x:c r="I10" s="2"/>
      <x:c r="J10" s="2"/>
      <x:c r="K10" s="2"/>
    </x:row>
    <x:row r="11" ht="24" customHeight="1">
      <x:c r="A11" s="29" t="n">
        <x:v>2500</x:v>
      </x:c>
      <x:c r="B11" s="10" t="n">
        <x:f>IF(AND(Compare!C59="OK",ISNUMBER(A11),A11&gt;=0,A11=INT(A11)),Compare!C61+A11*Compare!C49,"Check inputs")</x:f>
        <x:v>3940.136666666667</x:v>
      </x:c>
      <x:c r="C11" s="10" t="n">
        <x:f>IF(AND(Compare!D59="OK",ISNUMBER(A11),A11&gt;=0,A11=INT(A11)),Compare!D61+A11*Compare!D49,"Check inputs")</x:f>
        <x:v>7575.811666666668</x:v>
      </x:c>
      <x:c r="D11" s="10" t="n">
        <x:f>IF(NOT(ISNUMBER(B11)),"Check inputs",IF(A11*Compare!C55&gt;0,B11/(A11*Compare!C55),"No accepted results"))</x:f>
        <x:v>1.659004912280702</x:v>
      </x:c>
      <x:c r="E11" s="10" t="n">
        <x:f>IF(NOT(ISNUMBER(C11)),"Check inputs",IF(A11*Compare!D55&gt;0,C11/(A11*Compare!D55),"No accepted results"))</x:f>
        <x:v>3.189815438596492</x:v>
      </x:c>
      <x:c r="F11" s="10" t="n">
        <x:f>IF(Compare!E59&lt;&gt;"OK","Check baseline inputs",IF(AND(A11&gt;0,Compare!$C$24&gt;0),Compare!$C$22/60*Compare!$C$23/Compare!$C$24,"No accepted results"))</x:f>
        <x:v>12.244897959183673</x:v>
      </x:c>
      <x:c r="G11" s="2"/>
      <x:c r="H11" s="2"/>
      <x:c r="I11" s="2"/>
      <x:c r="J11" s="2"/>
      <x:c r="K11" s="2"/>
    </x:row>
    <x:row r="12" ht="24" customHeight="1">
      <x:c r="A12" s="29" t="n">
        <x:v>5000</x:v>
      </x:c>
      <x:c r="B12" s="10" t="n">
        <x:f>IF(AND(Compare!C59="OK",ISNUMBER(A12),A12&gt;=0,A12=INT(A12)),Compare!C61+A12*Compare!C49,"Check inputs")</x:f>
        <x:v>6803.6066666666675</x:v>
      </x:c>
      <x:c r="C12" s="10" t="n">
        <x:f>IF(AND(Compare!D59="OK",ISNUMBER(A12),A12&gt;=0,A12=INT(A12)),Compare!D61+A12*Compare!D49,"Check inputs")</x:f>
        <x:v>13144.956666666669</x:v>
      </x:c>
      <x:c r="D12" s="10" t="n">
        <x:f>IF(NOT(ISNUMBER(B12)),"Check inputs",IF(A12*Compare!C55&gt;0,B12/(A12*Compare!C55),"No accepted results"))</x:f>
        <x:v>1.4323382456140352</x:v>
      </x:c>
      <x:c r="E12" s="10" t="n">
        <x:f>IF(NOT(ISNUMBER(C12)),"Check inputs",IF(A12*Compare!D55&gt;0,C12/(A12*Compare!D55),"No accepted results"))</x:f>
        <x:v>2.7673592982456143</x:v>
      </x:c>
      <x:c r="F12" s="10" t="n">
        <x:f>IF(Compare!E59&lt;&gt;"OK","Check baseline inputs",IF(AND(A12&gt;0,Compare!$C$24&gt;0),Compare!$C$22/60*Compare!$C$23/Compare!$C$24,"No accepted results"))</x:f>
        <x:v>12.244897959183673</x:v>
      </x:c>
      <x:c r="G12" s="2"/>
      <x:c r="H12" s="2"/>
      <x:c r="I12" s="2"/>
      <x:c r="J12" s="2"/>
      <x:c r="K12" s="2"/>
    </x:row>
    <x:row r="13" ht="24" customHeight="1">
      <x:c r="A13" s="29" t="n">
        <x:v>10000</x:v>
      </x:c>
      <x:c r="B13" s="10" t="n">
        <x:f>IF(AND(Compare!C59="OK",ISNUMBER(A13),A13&gt;=0,A13=INT(A13)),Compare!C61+A13*Compare!C49,"Check inputs")</x:f>
        <x:v>12530.546666666667</x:v>
      </x:c>
      <x:c r="C13" s="10" t="n">
        <x:f>IF(AND(Compare!D59="OK",ISNUMBER(A13),A13&gt;=0,A13=INT(A13)),Compare!D61+A13*Compare!D49,"Check inputs")</x:f>
        <x:v>24283.246666666673</x:v>
      </x:c>
      <x:c r="D13" s="10" t="n">
        <x:f>IF(NOT(ISNUMBER(B13)),"Check inputs",IF(A13*Compare!C55&gt;0,B13/(A13*Compare!C55),"No accepted results"))</x:f>
        <x:v>1.3190049122807017</x:v>
      </x:c>
      <x:c r="E13" s="10" t="n">
        <x:f>IF(NOT(ISNUMBER(C13)),"Check inputs",IF(A13*Compare!D55&gt;0,C13/(A13*Compare!D55),"No accepted results"))</x:f>
        <x:v>2.5561312280701762</x:v>
      </x:c>
      <x:c r="F13" s="10" t="n">
        <x:f>IF(Compare!E59&lt;&gt;"OK","Check baseline inputs",IF(AND(A13&gt;0,Compare!$C$24&gt;0),Compare!$C$22/60*Compare!$C$23/Compare!$C$24,"No accepted results"))</x:f>
        <x:v>12.244897959183673</x:v>
      </x:c>
      <x:c r="G13" s="2"/>
      <x:c r="H13" s="2"/>
      <x:c r="I13" s="2"/>
      <x:c r="J13" s="2"/>
      <x:c r="K13" s="2"/>
    </x:row>
    <x:row r="14" ht="24" customHeight="1">
      <x:c r="A14" s="29" t="n">
        <x:v>25000</x:v>
      </x:c>
      <x:c r="B14" s="10" t="n">
        <x:f>IF(AND(Compare!C59="OK",ISNUMBER(A14),A14&gt;=0,A14=INT(A14)),Compare!C61+A14*Compare!C49,"Check inputs")</x:f>
        <x:v>29711.36666666667</x:v>
      </x:c>
      <x:c r="C14" s="10" t="n">
        <x:f>IF(AND(Compare!D59="OK",ISNUMBER(A14),A14&gt;=0,A14=INT(A14)),Compare!D61+A14*Compare!D49,"Check inputs")</x:f>
        <x:v>57698.116666666676</x:v>
      </x:c>
      <x:c r="D14" s="10" t="n">
        <x:f>IF(NOT(ISNUMBER(B14)),"Check inputs",IF(A14*Compare!C55&gt;0,B14/(A14*Compare!C55),"No accepted results"))</x:f>
        <x:v>1.2510049122807019</x:v>
      </x:c>
      <x:c r="E14" s="10" t="n">
        <x:f>IF(NOT(ISNUMBER(C14)),"Check inputs",IF(A14*Compare!D55&gt;0,C14/(A14*Compare!D55),"No accepted results"))</x:f>
        <x:v>2.4293943859649128</x:v>
      </x:c>
      <x:c r="F14" s="10" t="n">
        <x:f>IF(Compare!E59&lt;&gt;"OK","Check baseline inputs",IF(AND(A14&gt;0,Compare!$C$24&gt;0),Compare!$C$22/60*Compare!$C$23/Compare!$C$24,"No accepted results"))</x:f>
        <x:v>12.244897959183673</x:v>
      </x:c>
      <x:c r="G14" s="2"/>
      <x:c r="H14" s="2"/>
      <x:c r="I14" s="2"/>
      <x:c r="J14" s="2"/>
      <x:c r="K14" s="2"/>
    </x:row>
    <x:row r="15" ht="24" customHeight="1">
      <x:c r="A15" s="29" t="n">
        <x:v>50000</x:v>
      </x:c>
      <x:c r="B15" s="10" t="n">
        <x:f>IF(AND(Compare!C59="OK",ISNUMBER(A15),A15&gt;=0,A15=INT(A15)),Compare!C61+A15*Compare!C49,"Check inputs")</x:f>
        <x:v>58346.066666666666</x:v>
      </x:c>
      <x:c r="C15" s="10" t="n">
        <x:f>IF(AND(Compare!D59="OK",ISNUMBER(A15),A15&gt;=0,A15=INT(A15)),Compare!D61+A15*Compare!D49,"Check inputs")</x:f>
        <x:v>113389.5666666667</x:v>
      </x:c>
      <x:c r="D15" s="10" t="n">
        <x:f>IF(NOT(ISNUMBER(B15)),"Check inputs",IF(A15*Compare!C55&gt;0,B15/(A15*Compare!C55),"No accepted results"))</x:f>
        <x:v>1.228338245614035</x:v>
      </x:c>
      <x:c r="E15" s="10" t="n">
        <x:f>IF(NOT(ISNUMBER(C15)),"Check inputs",IF(A15*Compare!D55&gt;0,C15/(A15*Compare!D55),"No accepted results"))</x:f>
        <x:v>2.387148771929825</x:v>
      </x:c>
      <x:c r="F15" s="10" t="n">
        <x:f>IF(Compare!E59&lt;&gt;"OK","Check baseline inputs",IF(AND(A15&gt;0,Compare!$C$24&gt;0),Compare!$C$22/60*Compare!$C$23/Compare!$C$24,"No accepted results"))</x:f>
        <x:v>12.244897959183673</x:v>
      </x:c>
      <x:c r="G15" s="2"/>
      <x:c r="H15" s="2"/>
      <x:c r="I15" s="2"/>
      <x:c r="J15" s="2"/>
      <x:c r="K15" s="2"/>
    </x:row>
    <x:row r="16" ht="24" customHeight="1">
      <x:c r="A16" s="29" t="n">
        <x:v>100000</x:v>
      </x:c>
      <x:c r="B16" s="10" t="n">
        <x:f>IF(AND(Compare!C59="OK",ISNUMBER(A16),A16&gt;=0,A16=INT(A16)),Compare!C61+A16*Compare!C49,"Check inputs")</x:f>
        <x:v>115615.46666666667</x:v>
      </x:c>
      <x:c r="C16" s="10" t="n">
        <x:f>IF(AND(Compare!D59="OK",ISNUMBER(A16),A16&gt;=0,A16=INT(A16)),Compare!D61+A16*Compare!D49,"Check inputs")</x:f>
        <x:v>224772.4666666667</x:v>
      </x:c>
      <x:c r="D16" s="10" t="n">
        <x:f>IF(NOT(ISNUMBER(B16)),"Check inputs",IF(A16*Compare!C55&gt;0,B16/(A16*Compare!C55),"No accepted results"))</x:f>
        <x:v>1.2170049122807018</x:v>
      </x:c>
      <x:c r="E16" s="10" t="n">
        <x:f>IF(NOT(ISNUMBER(C16)),"Check inputs",IF(A16*Compare!D55&gt;0,C16/(A16*Compare!D55),"No accepted results"))</x:f>
        <x:v>2.3660259649122812</x:v>
      </x:c>
      <x:c r="F16" s="10" t="n">
        <x:f>IF(Compare!E59&lt;&gt;"OK","Check baseline inputs",IF(AND(A16&gt;0,Compare!$C$24&gt;0),Compare!$C$22/60*Compare!$C$23/Compare!$C$24,"No accepted results"))</x:f>
        <x:v>12.244897959183673</x:v>
      </x:c>
      <x:c r="G16" s="2"/>
      <x:c r="H16" s="2"/>
      <x:c r="I16" s="2"/>
      <x:c r="J16" s="2"/>
      <x:c r="K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4" customHeight="1">
      <x:c r="A19" s="2" t="str">
        <x:v>Crossover volume (cost per accepted result)</x:v>
      </x:c>
      <x:c r="B19" s="2"/>
      <x:c r="C19" s="2"/>
      <x:c r="D19" s="30" t="str">
        <x:f>IF(OR(Compare!C59&lt;&gt;"OK",Compare!D59&lt;&gt;"OK"),"Check inputs",IF(OR(Compare!C55=0,Compare!D55=0),"No accepted results",IF(ABS(Compare!D49/Compare!D55-Compare!C49/Compare!C55)&lt;0.000000001,"No single crossover",IF((Compare!C61/Compare!C55-Compare!D61/Compare!D55)/(Compare!D49/Compare!D55-Compare!C49/Compare!C55)&gt;0,(Compare!C61/Compare!C55-Compare!D61/Compare!D55)/(Compare!D49/Compare!D55-Compare!C49/Compare!C55),"No positive crossover"))))</x:f>
        <x:v>No positive crossover</x:v>
      </x:c>
      <x:c r="E19" s="2"/>
      <x:c r="F19" s="2"/>
      <x:c r="G19" s="2"/>
      <x:c r="H19" s="2"/>
      <x:c r="I19" s="2"/>
      <x:c r="J19" s="2"/>
      <x:c r="K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4" customHeight="1">
      <x:c r="A21" s="17" t="str">
        <x:v>Crossover compares allocated fixed and variable cost after adjusting for accepted fraction.</x:v>
      </x:c>
      <x:c r="B21" s="17"/>
      <x:c r="C21" s="17"/>
      <x:c r="D21" s="17"/>
      <x:c r="E21" s="17"/>
      <x:c r="F21" s="17"/>
      <x:c r="G21" s="2"/>
      <x:c r="H21" s="2"/>
      <x:c r="I21" s="2"/>
      <x:c r="J21" s="2"/>
      <x:c r="K21" s="2"/>
    </x:row>
    <x:row r="22" ht="24" customHeight="1">
      <x:c r="A22" s="17"/>
      <x:c r="B22" s="17"/>
      <x:c r="C22" s="17"/>
      <x:c r="D22" s="17"/>
      <x:c r="E22" s="17"/>
      <x:c r="F22" s="17"/>
      <x:c r="G22" s="2"/>
      <x:c r="H22" s="2"/>
      <x:c r="I22" s="2"/>
      <x:c r="J22" s="2"/>
      <x:c r="K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17" t="str">
        <x:v>A lower cost does not compensate for missing the acceptance target. Check Compare before choosing.</x:v>
      </x:c>
      <x:c r="B24" s="17"/>
      <x:c r="C24" s="17"/>
      <x:c r="D24" s="17"/>
      <x:c r="E24" s="17"/>
      <x:c r="F24" s="17"/>
      <x:c r="G24" s="2"/>
      <x:c r="H24" s="2"/>
      <x:c r="I24" s="2"/>
      <x:c r="J24" s="2"/>
      <x:c r="K24" s="2"/>
    </x:row>
    <x:row r="25" ht="24" customHeight="1">
      <x:c r="A25" s="17"/>
      <x:c r="B25" s="17"/>
      <x:c r="C25" s="17"/>
      <x:c r="D25" s="17"/>
      <x:c r="E25" s="17"/>
      <x:c r="F25" s="17"/>
      <x:c r="G25" s="2"/>
      <x:c r="H25" s="2"/>
      <x:c r="I25" s="2"/>
      <x:c r="J25" s="2"/>
      <x:c r="K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 t="str">
        <x:v>Original tasks / month</x:v>
      </x:c>
      <x:c r="B29" s="2" t="str">
        <x:v>Workflow A</x:v>
      </x:c>
      <x:c r="C29" s="2" t="str">
        <x:v>Workflow B</x:v>
      </x:c>
      <x:c r="D29" s="2" t="str">
        <x:v>Manual baseline</x:v>
      </x:c>
      <x:c r="E29" s="2"/>
      <x:c r="F29" s="2"/>
      <x:c r="G29" s="2"/>
      <x:c r="H29" s="2"/>
      <x:c r="I29" s="2"/>
      <x:c r="J29" s="2"/>
      <x:c r="K29" s="2"/>
    </x:row>
    <x:row r="30" ht="24" customHeight="1">
      <x:c r="A30" s="2" t="n">
        <x:f>A8</x:f>
        <x:v>100</x:v>
      </x:c>
      <x:c r="B30" s="10" t="n">
        <x:f>D8</x:f>
        <x:v>12.539004912280703</x:v>
      </x:c>
      <x:c r="C30" s="10" t="n">
        <x:f>E8</x:f>
        <x:v>23.467710175438597</x:v>
      </x:c>
      <x:c r="D30" s="10" t="n">
        <x:f>F8</x:f>
        <x:v>12.244897959183673</x:v>
      </x:c>
      <x:c r="E30" s="2"/>
      <x:c r="F30" s="2"/>
      <x:c r="G30" s="2"/>
      <x:c r="H30" s="2"/>
      <x:c r="I30" s="2"/>
      <x:c r="J30" s="2"/>
      <x:c r="K30" s="2"/>
    </x:row>
    <x:row r="31" ht="24" customHeight="1">
      <x:c r="A31" s="2" t="n">
        <x:f>A9</x:f>
        <x:v>500</x:v>
      </x:c>
      <x:c r="B31" s="10" t="n">
        <x:f>D9</x:f>
        <x:v>3.472338245614035</x:v>
      </x:c>
      <x:c r="C31" s="10" t="n">
        <x:f>E9</x:f>
        <x:v>6.5694645614035085</x:v>
      </x:c>
      <x:c r="D31" s="10" t="n">
        <x:f>F9</x:f>
        <x:v>12.244897959183673</x:v>
      </x:c>
      <x:c r="E31" s="2"/>
      <x:c r="F31" s="2"/>
      <x:c r="G31" s="2"/>
      <x:c r="H31" s="2"/>
      <x:c r="I31" s="2"/>
      <x:c r="J31" s="2"/>
      <x:c r="K31" s="2"/>
    </x:row>
    <x:row r="32" ht="24" customHeight="1">
      <x:c r="A32" s="2" t="n">
        <x:f>A10</x:f>
        <x:v>1000</x:v>
      </x:c>
      <x:c r="B32" s="10" t="n">
        <x:f>D10</x:f>
        <x:v>2.3390049122807017</x:v>
      </x:c>
      <x:c r="C32" s="10" t="n">
        <x:f>E10</x:f>
        <x:v>4.457183859649123</x:v>
      </x:c>
      <x:c r="D32" s="10" t="n">
        <x:f>F10</x:f>
        <x:v>12.244897959183673</x:v>
      </x:c>
      <x:c r="E32" s="2"/>
      <x:c r="F32" s="2"/>
      <x:c r="G32" s="2"/>
      <x:c r="H32" s="2"/>
      <x:c r="I32" s="2"/>
      <x:c r="J32" s="2"/>
      <x:c r="K32" s="2"/>
    </x:row>
    <x:row r="33" ht="24" customHeight="1">
      <x:c r="A33" s="2" t="n">
        <x:f>A11</x:f>
        <x:v>2500</x:v>
      </x:c>
      <x:c r="B33" s="10" t="n">
        <x:f>D11</x:f>
        <x:v>1.659004912280702</x:v>
      </x:c>
      <x:c r="C33" s="10" t="n">
        <x:f>E11</x:f>
        <x:v>3.189815438596492</x:v>
      </x:c>
      <x:c r="D33" s="10" t="n">
        <x:f>F11</x:f>
        <x:v>12.244897959183673</x:v>
      </x:c>
      <x:c r="E33" s="2"/>
      <x:c r="F33" s="2"/>
      <x:c r="G33" s="2"/>
      <x:c r="H33" s="2"/>
      <x:c r="I33" s="2"/>
      <x:c r="J33" s="2"/>
      <x:c r="K33" s="2"/>
    </x:row>
    <x:row r="34" ht="24" customHeight="1">
      <x:c r="A34" s="2" t="n">
        <x:f>A12</x:f>
        <x:v>5000</x:v>
      </x:c>
      <x:c r="B34" s="10" t="n">
        <x:f>D12</x:f>
        <x:v>1.4323382456140352</x:v>
      </x:c>
      <x:c r="C34" s="10" t="n">
        <x:f>E12</x:f>
        <x:v>2.7673592982456143</x:v>
      </x:c>
      <x:c r="D34" s="10" t="n">
        <x:f>F12</x:f>
        <x:v>12.244897959183673</x:v>
      </x:c>
      <x:c r="E34" s="2"/>
      <x:c r="F34" s="2"/>
      <x:c r="G34" s="2"/>
      <x:c r="H34" s="2"/>
      <x:c r="I34" s="2"/>
      <x:c r="J34" s="2"/>
      <x:c r="K34" s="2"/>
    </x:row>
    <x:row r="35" ht="24" customHeight="1">
      <x:c r="A35" s="2" t="n">
        <x:f>A13</x:f>
        <x:v>10000</x:v>
      </x:c>
      <x:c r="B35" s="10" t="n">
        <x:f>D13</x:f>
        <x:v>1.3190049122807017</x:v>
      </x:c>
      <x:c r="C35" s="10" t="n">
        <x:f>E13</x:f>
        <x:v>2.5561312280701762</x:v>
      </x:c>
      <x:c r="D35" s="10" t="n">
        <x:f>F13</x:f>
        <x:v>12.244897959183673</x:v>
      </x:c>
      <x:c r="E35" s="2"/>
      <x:c r="F35" s="2"/>
      <x:c r="G35" s="2"/>
      <x:c r="H35" s="2"/>
      <x:c r="I35" s="2"/>
      <x:c r="J35" s="2"/>
      <x:c r="K35" s="2"/>
    </x:row>
    <x:row r="36" ht="24" customHeight="1">
      <x:c r="A36" s="2" t="n">
        <x:f>A14</x:f>
        <x:v>25000</x:v>
      </x:c>
      <x:c r="B36" s="10" t="n">
        <x:f>D14</x:f>
        <x:v>1.2510049122807019</x:v>
      </x:c>
      <x:c r="C36" s="10" t="n">
        <x:f>E14</x:f>
        <x:v>2.4293943859649128</x:v>
      </x:c>
      <x:c r="D36" s="10" t="n">
        <x:f>F14</x:f>
        <x:v>12.244897959183673</x:v>
      </x:c>
      <x:c r="E36" s="2"/>
      <x:c r="F36" s="2"/>
      <x:c r="G36" s="2"/>
      <x:c r="H36" s="2"/>
      <x:c r="I36" s="2"/>
      <x:c r="J36" s="2"/>
      <x:c r="K36" s="2"/>
    </x:row>
    <x:row r="37">
      <x:c r="A37" t="n">
        <x:f>A15</x:f>
        <x:v>50000</x:v>
      </x:c>
      <x:c r="B37" s="31" t="n">
        <x:f>D15</x:f>
        <x:v>1.228338245614035</x:v>
      </x:c>
      <x:c r="C37" s="31" t="n">
        <x:f>E15</x:f>
        <x:v>2.387148771929825</x:v>
      </x:c>
      <x:c r="D37" s="31" t="n">
        <x:f>F15</x:f>
        <x:v>12.244897959183673</x:v>
      </x:c>
    </x:row>
    <x:row r="38">
      <x:c r="A38" t="n">
        <x:f>A16</x:f>
        <x:v>100000</x:v>
      </x:c>
      <x:c r="B38" s="31" t="n">
        <x:f>D16</x:f>
        <x:v>1.2170049122807018</x:v>
      </x:c>
      <x:c r="C38" s="31" t="n">
        <x:f>E16</x:f>
        <x:v>2.3660259649122812</x:v>
      </x:c>
      <x:c r="D38" s="31" t="n">
        <x:f>F16</x:f>
        <x:v>12.244897959183673</x:v>
      </x:c>
    </x:row>
  </x:sheetData>
  <x:mergeCells>
    <x:mergeCell ref="A4:K4"/>
    <x:mergeCell ref="A19:C19"/>
    <x:mergeCell ref="D19:F19"/>
    <x:mergeCell ref="A21:F22"/>
    <x:mergeCell ref="A24:F25"/>
  </x:mergeCells>
  <x:dataValidations count="1">
    <x:dataValidation type="whole" operator="greaterThanOrEqual" sqref="A7:A16">
      <x:formula1>0</x:formula1>
    </x:dataValidation>
  </x:dataValidations>
  <x:pageMargins left="0.7" right="0.7" top="0.75" bottom="0.75" header="0.3" footer="0.3"/>
  <x:drawing xmlns:r="http://schemas.openxmlformats.org/officeDocument/2006/relationships" r:id="R89cd460b53ce4047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4" hidden="0" customWidth="1"/>
    <x:col min="10" max="10" width="24" hidden="0" customWidth="1"/>
    <x:col min="11" max="11" width="38" hidden="0" customWidth="1"/>
    <x:col min="12" max="12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Model routing and inference charges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</x:row>
    <x:row r="4" ht="24" customHeight="1">
      <x:c r="A4" s="2" t="str">
        <x:v>Each stage fraction is a share of all original tasks. Chain stages may overlap.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52" customHeight="1">
      <x:c r="A6" s="26" t="str">
        <x:v>Workflow</x:v>
      </x:c>
      <x:c r="B6" s="26" t="str">
        <x:v>Stage ID</x:v>
      </x:c>
      <x:c r="C6" s="26" t="str">
        <x:v>Tasks reaching stage</x:v>
      </x:c>
      <x:c r="D6" s="26" t="str">
        <x:v>Calls per reached task</x:v>
      </x:c>
      <x:c r="E6" s="26" t="str">
        <x:v>Extra billable attempts per call</x:v>
      </x:c>
      <x:c r="F6" s="26" t="str">
        <x:v>Expected calls per original</x:v>
      </x:c>
      <x:c r="G6" s="26" t="str">
        <x:v>Charge per attempt</x:v>
      </x:c>
      <x:c r="H6" s="26" t="str">
        <x:v>Charge per original</x:v>
      </x:c>
      <x:c r="I6" s="26" t="str">
        <x:v>Stage / route</x:v>
      </x:c>
      <x:c r="J6" s="2"/>
      <x:c r="K6" s="2"/>
      <x:c r="L6" s="2"/>
    </x:row>
    <x:row r="7" ht="24" customHeight="1">
      <x:c r="A7" s="19" t="str">
        <x:v>A</x:v>
      </x:c>
      <x:c r="B7" s="19" t="str">
        <x:v>A-route</x:v>
      </x:c>
      <x:c r="C7" s="20" t="n">
        <x:v>1</x:v>
      </x:c>
      <x:c r="D7" s="19" t="n">
        <x:v>1</x:v>
      </x:c>
      <x:c r="E7" s="19" t="n">
        <x:v>0</x:v>
      </x:c>
      <x:c r="F7" s="2" t="n">
        <x:f>IF(AND(COUNT(C7:E7)=3,COUNTBLANK(C7:E7)=0,MIN(C7:E7)&gt;=0,C7&lt;=1),C7*D7*(1+E7),"Check routing")</x:f>
        <x:v>1</x:v>
      </x:c>
      <x:c r="G7" s="23" t="n">
        <x:f>IF(COUNTIFS($A$24:$A$35,B7)&lt;&gt;1,"Check stage ID",IF(COUNTIFS($A$24:$A$35,B7,$J$24:$J$35,"Check token inputs")&gt;0,"Check token inputs",SUMIFS($J$24:$J$35,$A$24:$A$35,B7)))</x:f>
        <x:v>0.00062</x:v>
      </x:c>
      <x:c r="H7" s="23" t="n">
        <x:f>IF(AND(ISNUMBER(F7),ISNUMBER(G7)),F7*G7,"Check model stage")</x:f>
        <x:v>0.00062</x:v>
      </x:c>
      <x:c r="I7" s="19" t="str">
        <x:v>Router</x:v>
      </x:c>
      <x:c r="J7" s="2"/>
      <x:c r="K7" s="2"/>
      <x:c r="L7" s="2"/>
    </x:row>
    <x:row r="8" ht="24" customHeight="1">
      <x:c r="A8" s="19" t="str">
        <x:v>A</x:v>
      </x:c>
      <x:c r="B8" s="19" t="str">
        <x:v>A-main</x:v>
      </x:c>
      <x:c r="C8" s="20" t="n">
        <x:v>1</x:v>
      </x:c>
      <x:c r="D8" s="19" t="n">
        <x:v>1</x:v>
      </x:c>
      <x:c r="E8" s="19" t="n">
        <x:v>0.15</x:v>
      </x:c>
      <x:c r="F8" s="2" t="n">
        <x:f>IF(AND(COUNT(C8:E8)=3,COUNTBLANK(C8:E8)=0,MIN(C8:E8)&gt;=0,C8&lt;=1),C8*D8*(1+E8),"Check routing")</x:f>
        <x:v>1.15</x:v>
      </x:c>
      <x:c r="G8" s="23" t="n">
        <x:f>IF(COUNTIFS($A$24:$A$35,B8)&lt;&gt;1,"Check stage ID",IF(COUNTIFS($A$24:$A$35,B8,$J$24:$J$35,"Check token inputs")&gt;0,"Check token inputs",SUMIFS($J$24:$J$35,$A$24:$A$35,B8)))</x:f>
        <x:v>0.013</x:v>
      </x:c>
      <x:c r="H8" s="23" t="n">
        <x:f>IF(AND(ISNUMBER(F8),ISNUMBER(G8)),F8*G8,"Check model stage")</x:f>
        <x:v>0.014949999999999998</x:v>
      </x:c>
      <x:c r="I8" s="19" t="str">
        <x:v>Main generation</x:v>
      </x:c>
      <x:c r="J8" s="2"/>
      <x:c r="K8" s="2"/>
      <x:c r="L8" s="2"/>
    </x:row>
    <x:row r="9" ht="24" customHeight="1">
      <x:c r="A9" s="19" t="str">
        <x:v>A</x:v>
      </x:c>
      <x:c r="B9" s="19" t="str">
        <x:v>A-fallback</x:v>
      </x:c>
      <x:c r="C9" s="20" t="n">
        <x:v>0.1</x:v>
      </x:c>
      <x:c r="D9" s="19" t="n">
        <x:v>1</x:v>
      </x:c>
      <x:c r="E9" s="19" t="n">
        <x:v>0.1</x:v>
      </x:c>
      <x:c r="F9" s="2" t="n">
        <x:f>IF(AND(COUNT(C9:E9)=3,COUNTBLANK(C9:E9)=0,MIN(C9:E9)&gt;=0,C9&lt;=1),C9*D9*(1+E9),"Check routing")</x:f>
        <x:v>0.11000000000000001</x:v>
      </x:c>
      <x:c r="G9" s="23" t="n">
        <x:f>IF(COUNTIFS($A$24:$A$35,B9)&lt;&gt;1,"Check stage ID",IF(COUNTIFS($A$24:$A$35,B9,$J$24:$J$35,"Check token inputs")&gt;0,"Check token inputs",SUMIFS($J$24:$J$35,$A$24:$A$35,B9)))</x:f>
        <x:v>0.0368</x:v>
      </x:c>
      <x:c r="H9" s="23" t="n">
        <x:f>IF(AND(ISNUMBER(F9),ISNUMBER(G9)),F9*G9,"Check model stage")</x:f>
        <x:v>0.004048</x:v>
      </x:c>
      <x:c r="I9" s="19" t="str">
        <x:v>Escalation</x:v>
      </x:c>
      <x:c r="J9" s="2"/>
      <x:c r="K9" s="2"/>
      <x:c r="L9" s="2"/>
    </x:row>
    <x:row r="10" ht="24" customHeight="1">
      <x:c r="A10" s="19" t="str">
        <x:v>A</x:v>
      </x:c>
      <x:c r="B10" s="19" t="str">
        <x:v>A-embed</x:v>
      </x:c>
      <x:c r="C10" s="20" t="n">
        <x:v>1</x:v>
      </x:c>
      <x:c r="D10" s="19" t="n">
        <x:v>1</x:v>
      </x:c>
      <x:c r="E10" s="19" t="n">
        <x:v>0</x:v>
      </x:c>
      <x:c r="F10" s="2" t="n">
        <x:f>IF(AND(COUNT(C10:E10)=3,COUNTBLANK(C10:E10)=0,MIN(C10:E10)&gt;=0,C10&lt;=1),C10*D10*(1+E10),"Check routing")</x:f>
        <x:v>1</x:v>
      </x:c>
      <x:c r="G10" s="23" t="n">
        <x:f>IF(COUNTIFS($A$24:$A$35,B10)&lt;&gt;1,"Check stage ID",IF(COUNTIFS($A$24:$A$35,B10,$J$24:$J$35,"Check token inputs")&gt;0,"Check token inputs",SUMIFS($J$24:$J$35,$A$24:$A$35,B10)))</x:f>
        <x:v>0.00015</x:v>
      </x:c>
      <x:c r="H10" s="23" t="n">
        <x:f>IF(AND(ISNUMBER(F10),ISNUMBER(G10)),F10*G10,"Check model stage")</x:f>
        <x:v>0.00015</x:v>
      </x:c>
      <x:c r="I10" s="19" t="str">
        <x:v>Embedding</x:v>
      </x:c>
      <x:c r="J10" s="2"/>
      <x:c r="K10" s="2"/>
      <x:c r="L10" s="2"/>
    </x:row>
    <x:row r="11" ht="24" customHeight="1">
      <x:c r="A11" s="19" t="str">
        <x:v>A</x:v>
      </x:c>
      <x:c r="B11" s="19" t="str">
        <x:v>A-extra1</x:v>
      </x:c>
      <x:c r="C11" s="20" t="n">
        <x:v>0</x:v>
      </x:c>
      <x:c r="D11" s="19" t="n">
        <x:v>0</x:v>
      </x:c>
      <x:c r="E11" s="19" t="n">
        <x:v>0</x:v>
      </x:c>
      <x:c r="F11" s="2" t="n">
        <x:f>IF(AND(COUNT(C11:E11)=3,COUNTBLANK(C11:E11)=0,MIN(C11:E11)&gt;=0,C11&lt;=1),C11*D11*(1+E11),"Check routing")</x:f>
        <x:v>0</x:v>
      </x:c>
      <x:c r="G11" s="23" t="n">
        <x:f>IF(COUNTIFS($A$24:$A$35,B11)&lt;&gt;1,"Check stage ID",IF(COUNTIFS($A$24:$A$35,B11,$J$24:$J$35,"Check token inputs")&gt;0,"Check token inputs",SUMIFS($J$24:$J$35,$A$24:$A$35,B11)))</x:f>
        <x:v>0</x:v>
      </x:c>
      <x:c r="H11" s="23" t="n">
        <x:f>IF(AND(ISNUMBER(F11),ISNUMBER(G11)),F11*G11,"Check model stage")</x:f>
        <x:v>0</x:v>
      </x:c>
      <x:c r="I11" s="19" t="str">
        <x:v>Optional extra stage</x:v>
      </x:c>
      <x:c r="J11" s="2"/>
      <x:c r="K11" s="2"/>
      <x:c r="L11" s="2"/>
    </x:row>
    <x:row r="12" ht="24" customHeight="1">
      <x:c r="A12" s="19" t="str">
        <x:v>A</x:v>
      </x:c>
      <x:c r="B12" s="19" t="str">
        <x:v>A-extra2</x:v>
      </x:c>
      <x:c r="C12" s="20" t="n">
        <x:v>0</x:v>
      </x:c>
      <x:c r="D12" s="19" t="n">
        <x:v>0</x:v>
      </x:c>
      <x:c r="E12" s="19" t="n">
        <x:v>0</x:v>
      </x:c>
      <x:c r="F12" s="2" t="n">
        <x:f>IF(AND(COUNT(C12:E12)=3,COUNTBLANK(C12:E12)=0,MIN(C12:E12)&gt;=0,C12&lt;=1),C12*D12*(1+E12),"Check routing")</x:f>
        <x:v>0</x:v>
      </x:c>
      <x:c r="G12" s="23" t="n">
        <x:f>IF(COUNTIFS($A$24:$A$35,B12)&lt;&gt;1,"Check stage ID",IF(COUNTIFS($A$24:$A$35,B12,$J$24:$J$35,"Check token inputs")&gt;0,"Check token inputs",SUMIFS($J$24:$J$35,$A$24:$A$35,B12)))</x:f>
        <x:v>0</x:v>
      </x:c>
      <x:c r="H12" s="23" t="n">
        <x:f>IF(AND(ISNUMBER(F12),ISNUMBER(G12)),F12*G12,"Check model stage")</x:f>
        <x:v>0</x:v>
      </x:c>
      <x:c r="I12" s="19" t="str">
        <x:v>Optional extra stage</x:v>
      </x:c>
      <x:c r="J12" s="2"/>
      <x:c r="K12" s="2"/>
      <x:c r="L12" s="2"/>
    </x:row>
    <x:row r="13" ht="24" customHeight="1">
      <x:c r="A13" s="19" t="str">
        <x:v>B</x:v>
      </x:c>
      <x:c r="B13" s="19" t="str">
        <x:v>B-route</x:v>
      </x:c>
      <x:c r="C13" s="20" t="n">
        <x:v>1</x:v>
      </x:c>
      <x:c r="D13" s="19" t="n">
        <x:v>1</x:v>
      </x:c>
      <x:c r="E13" s="19" t="n">
        <x:v>0</x:v>
      </x:c>
      <x:c r="F13" s="2" t="n">
        <x:f>IF(AND(COUNT(C13:E13)=3,COUNTBLANK(C13:E13)=0,MIN(C13:E13)&gt;=0,C13&lt;=1),C13*D13*(1+E13),"Check routing")</x:f>
        <x:v>1</x:v>
      </x:c>
      <x:c r="G13" s="23" t="n">
        <x:f>IF(COUNTIFS($A$24:$A$35,B13)&lt;&gt;1,"Check stage ID",IF(COUNTIFS($A$24:$A$35,B13,$J$24:$J$35,"Check token inputs")&gt;0,"Check token inputs",SUMIFS($J$24:$J$35,$A$24:$A$35,B13)))</x:f>
        <x:v>0.0004</x:v>
      </x:c>
      <x:c r="H13" s="23" t="n">
        <x:f>IF(AND(ISNUMBER(F13),ISNUMBER(G13)),F13*G13,"Check model stage")</x:f>
        <x:v>0.0004</x:v>
      </x:c>
      <x:c r="I13" s="19" t="str">
        <x:v>Router</x:v>
      </x:c>
      <x:c r="J13" s="2"/>
      <x:c r="K13" s="2"/>
      <x:c r="L13" s="2"/>
    </x:row>
    <x:row r="14" ht="24" customHeight="1">
      <x:c r="A14" s="19" t="str">
        <x:v>B</x:v>
      </x:c>
      <x:c r="B14" s="19" t="str">
        <x:v>B-small</x:v>
      </x:c>
      <x:c r="C14" s="20" t="n">
        <x:v>0.85</x:v>
      </x:c>
      <x:c r="D14" s="19" t="n">
        <x:v>1</x:v>
      </x:c>
      <x:c r="E14" s="19" t="n">
        <x:v>0.2</x:v>
      </x:c>
      <x:c r="F14" s="2" t="n">
        <x:f>IF(AND(COUNT(C14:E14)=3,COUNTBLANK(C14:E14)=0,MIN(C14:E14)&gt;=0,C14&lt;=1),C14*D14*(1+E14),"Check routing")</x:f>
        <x:v>1.02</x:v>
      </x:c>
      <x:c r="G14" s="23" t="n">
        <x:f>IF(COUNTIFS($A$24:$A$35,B14)&lt;&gt;1,"Check stage ID",IF(COUNTIFS($A$24:$A$35,B14,$J$24:$J$35,"Check token inputs")&gt;0,"Check token inputs",SUMIFS($J$24:$J$35,$A$24:$A$35,B14)))</x:f>
        <x:v>0</x:v>
      </x:c>
      <x:c r="H14" s="23" t="n">
        <x:f>IF(AND(ISNUMBER(F14),ISNUMBER(G14)),F14*G14,"Check model stage")</x:f>
        <x:v>0</x:v>
      </x:c>
      <x:c r="I14" s="19" t="str">
        <x:v>Small/local model</x:v>
      </x:c>
      <x:c r="J14" s="2"/>
      <x:c r="K14" s="2"/>
      <x:c r="L14" s="2"/>
    </x:row>
    <x:row r="15" ht="24" customHeight="1">
      <x:c r="A15" s="19" t="str">
        <x:v>B</x:v>
      </x:c>
      <x:c r="B15" s="19" t="str">
        <x:v>B-fallback</x:v>
      </x:c>
      <x:c r="C15" s="20" t="n">
        <x:v>0.15</x:v>
      </x:c>
      <x:c r="D15" s="19" t="n">
        <x:v>1</x:v>
      </x:c>
      <x:c r="E15" s="19" t="n">
        <x:v>0.1</x:v>
      </x:c>
      <x:c r="F15" s="2" t="n">
        <x:f>IF(AND(COUNT(C15:E15)=3,COUNTBLANK(C15:E15)=0,MIN(C15:E15)&gt;=0,C15&lt;=1),C15*D15*(1+E15),"Check routing")</x:f>
        <x:v>0.165</x:v>
      </x:c>
      <x:c r="G15" s="23" t="n">
        <x:f>IF(COUNTIFS($A$24:$A$35,B15)&lt;&gt;1,"Check stage ID",IF(COUNTIFS($A$24:$A$35,B15,$J$24:$J$35,"Check token inputs")&gt;0,"Check token inputs",SUMIFS($J$24:$J$35,$A$24:$A$35,B15)))</x:f>
        <x:v>0.0312</x:v>
      </x:c>
      <x:c r="H15" s="23" t="n">
        <x:f>IF(AND(ISNUMBER(F15),ISNUMBER(G15)),F15*G15,"Check model stage")</x:f>
        <x:v>0.005148</x:v>
      </x:c>
      <x:c r="I15" s="19" t="str">
        <x:v>Hosted escalation</x:v>
      </x:c>
      <x:c r="J15" s="2"/>
      <x:c r="K15" s="2"/>
      <x:c r="L15" s="2"/>
    </x:row>
    <x:row r="16" ht="24" customHeight="1">
      <x:c r="A16" s="19" t="str">
        <x:v>B</x:v>
      </x:c>
      <x:c r="B16" s="19" t="str">
        <x:v>B-embed</x:v>
      </x:c>
      <x:c r="C16" s="20" t="n">
        <x:v>1</x:v>
      </x:c>
      <x:c r="D16" s="19" t="n">
        <x:v>1</x:v>
      </x:c>
      <x:c r="E16" s="19" t="n">
        <x:v>0</x:v>
      </x:c>
      <x:c r="F16" s="2" t="n">
        <x:f>IF(AND(COUNT(C16:E16)=3,COUNTBLANK(C16:E16)=0,MIN(C16:E16)&gt;=0,C16&lt;=1),C16*D16*(1+E16),"Check routing")</x:f>
        <x:v>1</x:v>
      </x:c>
      <x:c r="G16" s="23" t="n">
        <x:f>IF(COUNTIFS($A$24:$A$35,B16)&lt;&gt;1,"Check stage ID",IF(COUNTIFS($A$24:$A$35,B16,$J$24:$J$35,"Check token inputs")&gt;0,"Check token inputs",SUMIFS($J$24:$J$35,$A$24:$A$35,B16)))</x:f>
        <x:v>0.00015</x:v>
      </x:c>
      <x:c r="H16" s="23" t="n">
        <x:f>IF(AND(ISNUMBER(F16),ISNUMBER(G16)),F16*G16,"Check model stage")</x:f>
        <x:v>0.00015</x:v>
      </x:c>
      <x:c r="I16" s="19" t="str">
        <x:v>Embedding</x:v>
      </x:c>
      <x:c r="J16" s="2"/>
      <x:c r="K16" s="2"/>
      <x:c r="L16" s="2"/>
    </x:row>
    <x:row r="17" ht="24" customHeight="1">
      <x:c r="A17" s="19" t="str">
        <x:v>B</x:v>
      </x:c>
      <x:c r="B17" s="19" t="str">
        <x:v>B-extra1</x:v>
      </x:c>
      <x:c r="C17" s="20" t="n">
        <x:v>0</x:v>
      </x:c>
      <x:c r="D17" s="19" t="n">
        <x:v>0</x:v>
      </x:c>
      <x:c r="E17" s="19" t="n">
        <x:v>0</x:v>
      </x:c>
      <x:c r="F17" s="2" t="n">
        <x:f>IF(AND(COUNT(C17:E17)=3,COUNTBLANK(C17:E17)=0,MIN(C17:E17)&gt;=0,C17&lt;=1),C17*D17*(1+E17),"Check routing")</x:f>
        <x:v>0</x:v>
      </x:c>
      <x:c r="G17" s="23" t="n">
        <x:f>IF(COUNTIFS($A$24:$A$35,B17)&lt;&gt;1,"Check stage ID",IF(COUNTIFS($A$24:$A$35,B17,$J$24:$J$35,"Check token inputs")&gt;0,"Check token inputs",SUMIFS($J$24:$J$35,$A$24:$A$35,B17)))</x:f>
        <x:v>0</x:v>
      </x:c>
      <x:c r="H17" s="23" t="n">
        <x:f>IF(AND(ISNUMBER(F17),ISNUMBER(G17)),F17*G17,"Check model stage")</x:f>
        <x:v>0</x:v>
      </x:c>
      <x:c r="I17" s="19" t="str">
        <x:v>Optional extra stage</x:v>
      </x:c>
      <x:c r="J17" s="2"/>
      <x:c r="K17" s="2"/>
      <x:c r="L17" s="2"/>
    </x:row>
    <x:row r="18" ht="24" customHeight="1">
      <x:c r="A18" s="19" t="str">
        <x:v>B</x:v>
      </x:c>
      <x:c r="B18" s="19" t="str">
        <x:v>B-extra2</x:v>
      </x:c>
      <x:c r="C18" s="20" t="n">
        <x:v>0</x:v>
      </x:c>
      <x:c r="D18" s="19" t="n">
        <x:v>0</x:v>
      </x:c>
      <x:c r="E18" s="19" t="n">
        <x:v>0</x:v>
      </x:c>
      <x:c r="F18" s="2" t="n">
        <x:f>IF(AND(COUNT(C18:E18)=3,COUNTBLANK(C18:E18)=0,MIN(C18:E18)&gt;=0,C18&lt;=1),C18*D18*(1+E18),"Check routing")</x:f>
        <x:v>0</x:v>
      </x:c>
      <x:c r="G18" s="23" t="n">
        <x:f>IF(COUNTIFS($A$24:$A$35,B18)&lt;&gt;1,"Check stage ID",IF(COUNTIFS($A$24:$A$35,B18,$J$24:$J$35,"Check token inputs")&gt;0,"Check token inputs",SUMIFS($J$24:$J$35,$A$24:$A$35,B18)))</x:f>
        <x:v>0</x:v>
      </x:c>
      <x:c r="H18" s="23" t="n">
        <x:f>IF(AND(ISNUMBER(F18),ISNUMBER(G18)),F18*G18,"Check model stage")</x:f>
        <x:v>0</x:v>
      </x:c>
      <x:c r="I18" s="19" t="str">
        <x:v>Optional extra stage</x:v>
      </x:c>
      <x:c r="J18" s="2"/>
      <x:c r="K18" s="2"/>
      <x:c r="L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56" customHeight="1">
      <x:c r="A23" s="26" t="str">
        <x:v>Stage ID</x:v>
      </x:c>
      <x:c r="B23" s="26" t="str">
        <x:v>Uncached input tokens</x:v>
      </x:c>
      <x:c r="C23" s="26" t="str">
        <x:v>Input $ / million</x:v>
      </x:c>
      <x:c r="D23" s="26" t="str">
        <x:v>Cache-read tokens</x:v>
      </x:c>
      <x:c r="E23" s="26" t="str">
        <x:v>Read $ / million</x:v>
      </x:c>
      <x:c r="F23" s="26" t="str">
        <x:v>Billable output tokens</x:v>
      </x:c>
      <x:c r="G23" s="26" t="str">
        <x:v>Output $ / million</x:v>
      </x:c>
      <x:c r="H23" s="26" t="str">
        <x:v>Separate cache-write tokens</x:v>
      </x:c>
      <x:c r="I23" s="26" t="str">
        <x:v>Write $ / million</x:v>
      </x:c>
      <x:c r="J23" s="26" t="str">
        <x:v>Charge per attempt</x:v>
      </x:c>
      <x:c r="K23" s="17" t="str">
        <x:v>Rate source / as-of</x:v>
      </x:c>
      <x:c r="L23" s="2"/>
    </x:row>
    <x:row r="24" ht="24" customHeight="1">
      <x:c r="A24" s="19" t="str">
        <x:v>A-route</x:v>
      </x:c>
      <x:c r="B24" s="19" t="n">
        <x:v>500</x:v>
      </x:c>
      <x:c r="C24" s="27" t="n">
        <x:v>1</x:v>
      </x:c>
      <x:c r="D24" s="19" t="n">
        <x:v>0</x:v>
      </x:c>
      <x:c r="E24" s="27" t="n">
        <x:v>0</x:v>
      </x:c>
      <x:c r="F24" s="19" t="n">
        <x:v>30</x:v>
      </x:c>
      <x:c r="G24" s="27" t="n">
        <x:v>4</x:v>
      </x:c>
      <x:c r="H24" s="19" t="n">
        <x:v>0</x:v>
      </x:c>
      <x:c r="I24" s="27" t="n">
        <x:v>0</x:v>
      </x:c>
      <x:c r="J24" s="23" t="n">
        <x:f>IF(AND(COUNT(B24:I24)=8,COUNTBLANK(B24:I24)=0,MIN(B24:I24)&gt;=0),(B24*C24+D24*E24+F24*G24+H24*I24)/1000000,"Check token inputs")</x:f>
        <x:v>0.00062</x:v>
      </x:c>
      <x:c r="K24" s="19" t="str">
        <x:v>Illustrative teaching rates</x:v>
      </x:c>
      <x:c r="L24" s="2"/>
    </x:row>
    <x:row r="25" ht="24" customHeight="1">
      <x:c r="A25" s="19" t="str">
        <x:v>A-main</x:v>
      </x:c>
      <x:c r="B25" s="19" t="n">
        <x:v>4000</x:v>
      </x:c>
      <x:c r="C25" s="27" t="n">
        <x:v>2</x:v>
      </x:c>
      <x:c r="D25" s="19" t="n">
        <x:v>1000</x:v>
      </x:c>
      <x:c r="E25" s="27" t="n">
        <x:v>0.2</x:v>
      </x:c>
      <x:c r="F25" s="19" t="n">
        <x:v>600</x:v>
      </x:c>
      <x:c r="G25" s="27" t="n">
        <x:v>8</x:v>
      </x:c>
      <x:c r="H25" s="19" t="n">
        <x:v>0</x:v>
      </x:c>
      <x:c r="I25" s="27" t="n">
        <x:v>0</x:v>
      </x:c>
      <x:c r="J25" s="23" t="n">
        <x:f>IF(AND(COUNT(B25:I25)=8,COUNTBLANK(B25:I25)=0,MIN(B25:I25)&gt;=0),(B25*C25+D25*E25+F25*G25+H25*I25)/1000000,"Check token inputs")</x:f>
        <x:v>0.013</x:v>
      </x:c>
      <x:c r="K25" s="19" t="str">
        <x:v>Illustrative teaching rates</x:v>
      </x:c>
      <x:c r="L25" s="2"/>
    </x:row>
    <x:row r="26" ht="24" customHeight="1">
      <x:c r="A26" s="19" t="str">
        <x:v>A-fallback</x:v>
      </x:c>
      <x:c r="B26" s="19" t="n">
        <x:v>6000</x:v>
      </x:c>
      <x:c r="C26" s="27" t="n">
        <x:v>4</x:v>
      </x:c>
      <x:c r="D26" s="19" t="n">
        <x:v>0</x:v>
      </x:c>
      <x:c r="E26" s="27" t="n">
        <x:v>0</x:v>
      </x:c>
      <x:c r="F26" s="19" t="n">
        <x:v>800</x:v>
      </x:c>
      <x:c r="G26" s="27" t="n">
        <x:v>16</x:v>
      </x:c>
      <x:c r="H26" s="19" t="n">
        <x:v>0</x:v>
      </x:c>
      <x:c r="I26" s="27" t="n">
        <x:v>0</x:v>
      </x:c>
      <x:c r="J26" s="23" t="n">
        <x:f>IF(AND(COUNT(B26:I26)=8,COUNTBLANK(B26:I26)=0,MIN(B26:I26)&gt;=0),(B26*C26+D26*E26+F26*G26+H26*I26)/1000000,"Check token inputs")</x:f>
        <x:v>0.0368</x:v>
      </x:c>
      <x:c r="K26" s="19" t="str">
        <x:v>Illustrative teaching rates</x:v>
      </x:c>
      <x:c r="L26" s="2"/>
    </x:row>
    <x:row r="27" ht="24" customHeight="1">
      <x:c r="A27" s="19" t="str">
        <x:v>A-embed</x:v>
      </x:c>
      <x:c r="B27" s="19" t="n">
        <x:v>3000</x:v>
      </x:c>
      <x:c r="C27" s="27" t="n">
        <x:v>0.05</x:v>
      </x:c>
      <x:c r="D27" s="19" t="n">
        <x:v>0</x:v>
      </x:c>
      <x:c r="E27" s="27" t="n">
        <x:v>0</x:v>
      </x:c>
      <x:c r="F27" s="19" t="n">
        <x:v>0</x:v>
      </x:c>
      <x:c r="G27" s="27" t="n">
        <x:v>0</x:v>
      </x:c>
      <x:c r="H27" s="19" t="n">
        <x:v>0</x:v>
      </x:c>
      <x:c r="I27" s="27" t="n">
        <x:v>0</x:v>
      </x:c>
      <x:c r="J27" s="23" t="n">
        <x:f>IF(AND(COUNT(B27:I27)=8,COUNTBLANK(B27:I27)=0,MIN(B27:I27)&gt;=0),(B27*C27+D27*E27+F27*G27+H27*I27)/1000000,"Check token inputs")</x:f>
        <x:v>0.00015</x:v>
      </x:c>
      <x:c r="K27" s="19" t="str">
        <x:v>Illustrative teaching rates</x:v>
      </x:c>
      <x:c r="L27" s="2"/>
    </x:row>
    <x:row r="28" ht="24" customHeight="1">
      <x:c r="A28" s="19" t="str">
        <x:v>A-extra1</x:v>
      </x:c>
      <x:c r="B28" s="19" t="n">
        <x:v>0</x:v>
      </x:c>
      <x:c r="C28" s="27" t="n">
        <x:v>0</x:v>
      </x:c>
      <x:c r="D28" s="19" t="n">
        <x:v>0</x:v>
      </x:c>
      <x:c r="E28" s="27" t="n">
        <x:v>0</x:v>
      </x:c>
      <x:c r="F28" s="19" t="n">
        <x:v>0</x:v>
      </x:c>
      <x:c r="G28" s="27" t="n">
        <x:v>0</x:v>
      </x:c>
      <x:c r="H28" s="19" t="n">
        <x:v>0</x:v>
      </x:c>
      <x:c r="I28" s="27" t="n">
        <x:v>0</x:v>
      </x:c>
      <x:c r="J28" s="23" t="n">
        <x:f>IF(AND(COUNT(B28:I28)=8,COUNTBLANK(B28:I28)=0,MIN(B28:I28)&gt;=0),(B28*C28+D28*E28+F28*G28+H28*I28)/1000000,"Check token inputs")</x:f>
        <x:v>0</x:v>
      </x:c>
      <x:c r="K28" s="19" t="str">
        <x:v>Illustrative teaching rates</x:v>
      </x:c>
      <x:c r="L28" s="2"/>
    </x:row>
    <x:row r="29" ht="24" customHeight="1">
      <x:c r="A29" s="19" t="str">
        <x:v>A-extra2</x:v>
      </x:c>
      <x:c r="B29" s="19" t="n">
        <x:v>0</x:v>
      </x:c>
      <x:c r="C29" s="27" t="n">
        <x:v>0</x:v>
      </x:c>
      <x:c r="D29" s="19" t="n">
        <x:v>0</x:v>
      </x:c>
      <x:c r="E29" s="27" t="n">
        <x:v>0</x:v>
      </x:c>
      <x:c r="F29" s="19" t="n">
        <x:v>0</x:v>
      </x:c>
      <x:c r="G29" s="27" t="n">
        <x:v>0</x:v>
      </x:c>
      <x:c r="H29" s="19" t="n">
        <x:v>0</x:v>
      </x:c>
      <x:c r="I29" s="27" t="n">
        <x:v>0</x:v>
      </x:c>
      <x:c r="J29" s="23" t="n">
        <x:f>IF(AND(COUNT(B29:I29)=8,COUNTBLANK(B29:I29)=0,MIN(B29:I29)&gt;=0),(B29*C29+D29*E29+F29*G29+H29*I29)/1000000,"Check token inputs")</x:f>
        <x:v>0</x:v>
      </x:c>
      <x:c r="K29" s="19" t="str">
        <x:v>Illustrative teaching rates</x:v>
      </x:c>
      <x:c r="L29" s="2"/>
    </x:row>
    <x:row r="30" ht="24" customHeight="1">
      <x:c r="A30" s="19" t="str">
        <x:v>B-route</x:v>
      </x:c>
      <x:c r="B30" s="19" t="n">
        <x:v>300</x:v>
      </x:c>
      <x:c r="C30" s="27" t="n">
        <x:v>1</x:v>
      </x:c>
      <x:c r="D30" s="19" t="n">
        <x:v>0</x:v>
      </x:c>
      <x:c r="E30" s="27" t="n">
        <x:v>0</x:v>
      </x:c>
      <x:c r="F30" s="19" t="n">
        <x:v>25</x:v>
      </x:c>
      <x:c r="G30" s="27" t="n">
        <x:v>4</x:v>
      </x:c>
      <x:c r="H30" s="19" t="n">
        <x:v>0</x:v>
      </x:c>
      <x:c r="I30" s="27" t="n">
        <x:v>0</x:v>
      </x:c>
      <x:c r="J30" s="23" t="n">
        <x:f>IF(AND(COUNT(B30:I30)=8,COUNTBLANK(B30:I30)=0,MIN(B30:I30)&gt;=0),(B30*C30+D30*E30+F30*G30+H30*I30)/1000000,"Check token inputs")</x:f>
        <x:v>0.0004</x:v>
      </x:c>
      <x:c r="K30" s="19" t="str">
        <x:v>Illustrative teaching rates</x:v>
      </x:c>
      <x:c r="L30" s="2"/>
    </x:row>
    <x:row r="31" ht="24" customHeight="1">
      <x:c r="A31" s="19" t="str">
        <x:v>B-small</x:v>
      </x:c>
      <x:c r="B31" s="19" t="n">
        <x:v>3500</x:v>
      </x:c>
      <x:c r="C31" s="27" t="n">
        <x:v>0</x:v>
      </x:c>
      <x:c r="D31" s="19" t="n">
        <x:v>1000</x:v>
      </x:c>
      <x:c r="E31" s="27" t="n">
        <x:v>0</x:v>
      </x:c>
      <x:c r="F31" s="19" t="n">
        <x:v>500</x:v>
      </x:c>
      <x:c r="G31" s="27" t="n">
        <x:v>0</x:v>
      </x:c>
      <x:c r="H31" s="19" t="n">
        <x:v>0</x:v>
      </x:c>
      <x:c r="I31" s="27" t="n">
        <x:v>0</x:v>
      </x:c>
      <x:c r="J31" s="23" t="n">
        <x:f>IF(AND(COUNT(B31:I31)=8,COUNTBLANK(B31:I31)=0,MIN(B31:I31)&gt;=0),(B31*C31+D31*E31+F31*G31+H31*I31)/1000000,"Check token inputs")</x:f>
        <x:v>0</x:v>
      </x:c>
      <x:c r="K31" s="19" t="str">
        <x:v>Illustrative teaching rates</x:v>
      </x:c>
      <x:c r="L31" s="2"/>
    </x:row>
    <x:row r="32" ht="24" customHeight="1">
      <x:c r="A32" s="19" t="str">
        <x:v>B-fallback</x:v>
      </x:c>
      <x:c r="B32" s="19" t="n">
        <x:v>5000</x:v>
      </x:c>
      <x:c r="C32" s="27" t="n">
        <x:v>4</x:v>
      </x:c>
      <x:c r="D32" s="19" t="n">
        <x:v>0</x:v>
      </x:c>
      <x:c r="E32" s="27" t="n">
        <x:v>0</x:v>
      </x:c>
      <x:c r="F32" s="19" t="n">
        <x:v>700</x:v>
      </x:c>
      <x:c r="G32" s="27" t="n">
        <x:v>16</x:v>
      </x:c>
      <x:c r="H32" s="19" t="n">
        <x:v>0</x:v>
      </x:c>
      <x:c r="I32" s="27" t="n">
        <x:v>0</x:v>
      </x:c>
      <x:c r="J32" s="23" t="n">
        <x:f>IF(AND(COUNT(B32:I32)=8,COUNTBLANK(B32:I32)=0,MIN(B32:I32)&gt;=0),(B32*C32+D32*E32+F32*G32+H32*I32)/1000000,"Check token inputs")</x:f>
        <x:v>0.0312</x:v>
      </x:c>
      <x:c r="K32" s="19" t="str">
        <x:v>Illustrative teaching rates</x:v>
      </x:c>
      <x:c r="L32" s="2"/>
    </x:row>
    <x:row r="33" ht="24" customHeight="1">
      <x:c r="A33" s="19" t="str">
        <x:v>B-embed</x:v>
      </x:c>
      <x:c r="B33" s="19" t="n">
        <x:v>3000</x:v>
      </x:c>
      <x:c r="C33" s="27" t="n">
        <x:v>0.05</x:v>
      </x:c>
      <x:c r="D33" s="19" t="n">
        <x:v>0</x:v>
      </x:c>
      <x:c r="E33" s="27" t="n">
        <x:v>0</x:v>
      </x:c>
      <x:c r="F33" s="19" t="n">
        <x:v>0</x:v>
      </x:c>
      <x:c r="G33" s="27" t="n">
        <x:v>0</x:v>
      </x:c>
      <x:c r="H33" s="19" t="n">
        <x:v>0</x:v>
      </x:c>
      <x:c r="I33" s="27" t="n">
        <x:v>0</x:v>
      </x:c>
      <x:c r="J33" s="23" t="n">
        <x:f>IF(AND(COUNT(B33:I33)=8,COUNTBLANK(B33:I33)=0,MIN(B33:I33)&gt;=0),(B33*C33+D33*E33+F33*G33+H33*I33)/1000000,"Check token inputs")</x:f>
        <x:v>0.00015</x:v>
      </x:c>
      <x:c r="K33" s="19" t="str">
        <x:v>Illustrative teaching rates</x:v>
      </x:c>
      <x:c r="L33" s="2"/>
    </x:row>
    <x:row r="34" ht="24" customHeight="1">
      <x:c r="A34" s="19" t="str">
        <x:v>B-extra1</x:v>
      </x:c>
      <x:c r="B34" s="19" t="n">
        <x:v>0</x:v>
      </x:c>
      <x:c r="C34" s="27" t="n">
        <x:v>0</x:v>
      </x:c>
      <x:c r="D34" s="19" t="n">
        <x:v>0</x:v>
      </x:c>
      <x:c r="E34" s="27" t="n">
        <x:v>0</x:v>
      </x:c>
      <x:c r="F34" s="19" t="n">
        <x:v>0</x:v>
      </x:c>
      <x:c r="G34" s="27" t="n">
        <x:v>0</x:v>
      </x:c>
      <x:c r="H34" s="19" t="n">
        <x:v>0</x:v>
      </x:c>
      <x:c r="I34" s="27" t="n">
        <x:v>0</x:v>
      </x:c>
      <x:c r="J34" s="23" t="n">
        <x:f>IF(AND(COUNT(B34:I34)=8,COUNTBLANK(B34:I34)=0,MIN(B34:I34)&gt;=0),(B34*C34+D34*E34+F34*G34+H34*I34)/1000000,"Check token inputs")</x:f>
        <x:v>0</x:v>
      </x:c>
      <x:c r="K34" s="19" t="str">
        <x:v>Illustrative teaching rates</x:v>
      </x:c>
      <x:c r="L34" s="2"/>
    </x:row>
    <x:row r="35" ht="24" customHeight="1">
      <x:c r="A35" s="19" t="str">
        <x:v>B-extra2</x:v>
      </x:c>
      <x:c r="B35" s="19" t="n">
        <x:v>0</x:v>
      </x:c>
      <x:c r="C35" s="27" t="n">
        <x:v>0</x:v>
      </x:c>
      <x:c r="D35" s="19" t="n">
        <x:v>0</x:v>
      </x:c>
      <x:c r="E35" s="27" t="n">
        <x:v>0</x:v>
      </x:c>
      <x:c r="F35" s="19" t="n">
        <x:v>0</x:v>
      </x:c>
      <x:c r="G35" s="27" t="n">
        <x:v>0</x:v>
      </x:c>
      <x:c r="H35" s="19" t="n">
        <x:v>0</x:v>
      </x:c>
      <x:c r="I35" s="27" t="n">
        <x:v>0</x:v>
      </x:c>
      <x:c r="J35" s="23" t="n">
        <x:f>IF(AND(COUNT(B35:I35)=8,COUNTBLANK(B35:I35)=0,MIN(B35:I35)&gt;=0),(B35*C35+D35*E35+F35*G35+H35*I35)/1000000,"Check token inputs")</x:f>
        <x:v>0</x:v>
      </x:c>
      <x:c r="K35" s="19" t="str">
        <x:v>Illustrative teaching rates</x:v>
      </x:c>
      <x:c r="L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4" customHeight="1">
      <x:c r="A38" s="25" t="str">
        <x:v>Average extra attempts are billable retries, not a retry limit. Use a separate stage if a retry uses a different model.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4" customHeight="1">
      <x:c r="A39" s="25" t="str">
        <x:v>Enter disjoint token billing categories. Do not bill cache writes again as uncached input, or reasoning twice.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4" customHeight="1">
      <x:c r="A40" s="25" t="str">
        <x:v>Local model token rates may be zero. Include hardware, runtime, energy and operation costs on Compare.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4" customHeight="1">
      <x:c r="A41" s="25" t="str">
        <x:v>All example rates are teaching assumptions, not current vendor prices. Replace them from your invoice or rate card.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4" customHeight="1">
      <x:c r="A42" s="25" t="str">
        <x:v>Blank required numeric inputs are invalid. Use explicit zero when a category is not billed.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4" customHeight="1">
      <x:c r="A43" s="25" t="str">
        <x:v>Do not change workflow A/B IDs. Use the optional stages for additional model, embedding or guardrail calls.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</x:sheetData>
  <x:mergeCells>
    <x:mergeCell ref="A4:J4"/>
    <x:mergeCell ref="A38:J38"/>
    <x:mergeCell ref="A39:J39"/>
    <x:mergeCell ref="A40:J40"/>
    <x:mergeCell ref="A41:J41"/>
    <x:mergeCell ref="A42:J42"/>
    <x:mergeCell ref="A43:J43"/>
  </x:mergeCells>
  <x:dataValidations count="4">
    <x:dataValidation type="decimal" operator="between" sqref="C7:C18">
      <x:formula1>0</x:formula1>
      <x:formula2>1</x:formula2>
    </x:dataValidation>
    <x:dataValidation type="decimal" operator="greaterThanOrEqual" sqref="D7:E18">
      <x:formula1>0</x:formula1>
    </x:dataValidation>
    <x:dataValidation type="decimal" operator="greaterThanOrEqual" sqref="B24:I35">
      <x:formula1>0</x:formula1>
    </x:dataValidation>
    <x:dataValidation type="list" sqref="A7:A18">
      <x:formula1>"A,B"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25" hidden="0" customWidth="1"/>
    <x:col min="3" max="3" width="2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0" hidden="0" customWidth="1"/>
    <x:col min="11" max="11" width="16" hidden="0" customWidth="1"/>
    <x:col min="12" max="12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External API and tool charges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</x:row>
    <x:row r="4" ht="24" customHeight="1">
      <x:c r="A4" s="2" t="str">
        <x:v>Count billable units, including failed or retried calls that the provider charges.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54" customHeight="1">
      <x:c r="A6" s="26" t="str">
        <x:v>Workflow</x:v>
      </x:c>
      <x:c r="B6" s="26" t="str">
        <x:v>Service / tool</x:v>
      </x:c>
      <x:c r="C6" s="26" t="str">
        <x:v>Billing unit</x:v>
      </x:c>
      <x:c r="D6" s="26" t="str">
        <x:v>Tasks reaching service</x:v>
      </x:c>
      <x:c r="E6" s="26" t="str">
        <x:v>Units per reached task</x:v>
      </x:c>
      <x:c r="F6" s="26" t="str">
        <x:v>Extra billable retries</x:v>
      </x:c>
      <x:c r="G6" s="26" t="str">
        <x:v>Price per unit</x:v>
      </x:c>
      <x:c r="H6" s="26" t="str">
        <x:v>Units per original task</x:v>
      </x:c>
      <x:c r="I6" s="26" t="str">
        <x:v>Cost per original task</x:v>
      </x:c>
      <x:c r="J6" s="26" t="str">
        <x:v>Boundary / source</x:v>
      </x:c>
      <x:c r="K6" s="2"/>
      <x:c r="L6" s="2"/>
    </x:row>
    <x:row r="7" ht="24" customHeight="1">
      <x:c r="A7" s="19" t="str">
        <x:v>A</x:v>
      </x:c>
      <x:c r="B7" s="19" t="str">
        <x:v>Retrieval / vector search</x:v>
      </x:c>
      <x:c r="C7" s="19" t="str">
        <x:v>request</x:v>
      </x:c>
      <x:c r="D7" s="20" t="n">
        <x:v>0.8</x:v>
      </x:c>
      <x:c r="E7" s="19" t="n">
        <x:v>2</x:v>
      </x:c>
      <x:c r="F7" s="19" t="n">
        <x:v>0.1</x:v>
      </x:c>
      <x:c r="G7" s="22" t="n">
        <x:v>0.002</x:v>
      </x:c>
      <x:c r="H7" s="28" t="n">
        <x:f>IF(AND(COUNT(D7:G7)=4,COUNTBLANK(D7:G7)=0,MIN(D7:G7)&gt;=0,D7&lt;=1),D7*E7*(1+F7),"Check API inputs")</x:f>
        <x:v>1.7600000000000002</x:v>
      </x:c>
      <x:c r="I7" s="23" t="n">
        <x:f>IF(ISNUMBER(H7),H7*G7,"Check external call")</x:f>
        <x:v>0.0035200000000000006</x:v>
      </x:c>
      <x:c r="J7" s="19" t="str">
        <x:v>Variable request fee only</x:v>
      </x:c>
      <x:c r="K7" s="2"/>
      <x:c r="L7" s="2"/>
    </x:row>
    <x:row r="8" ht="24" customHeight="1">
      <x:c r="A8" s="19" t="str">
        <x:v>A</x:v>
      </x:c>
      <x:c r="B8" s="19" t="str">
        <x:v>Web search</x:v>
      </x:c>
      <x:c r="C8" s="19" t="str">
        <x:v>request</x:v>
      </x:c>
      <x:c r="D8" s="20" t="n">
        <x:v>0.2</x:v>
      </x:c>
      <x:c r="E8" s="19" t="n">
        <x:v>1</x:v>
      </x:c>
      <x:c r="F8" s="19" t="n">
        <x:v>0.2</x:v>
      </x:c>
      <x:c r="G8" s="22" t="n">
        <x:v>0.015</x:v>
      </x:c>
      <x:c r="H8" s="28" t="n">
        <x:f>IF(AND(COUNT(D8:G8)=4,COUNTBLANK(D8:G8)=0,MIN(D8:G8)&gt;=0,D8&lt;=1),D8*E8*(1+F8),"Check API inputs")</x:f>
        <x:v>0.24</x:v>
      </x:c>
      <x:c r="I8" s="23" t="n">
        <x:f>IF(ISNUMBER(H8),H8*G8,"Check external call")</x:f>
        <x:v>0.0036</x:v>
      </x:c>
      <x:c r="J8" s="19" t="str">
        <x:v>Include source fetching if billed</x:v>
      </x:c>
      <x:c r="K8" s="2"/>
      <x:c r="L8" s="2"/>
    </x:row>
    <x:row r="9" ht="24" customHeight="1">
      <x:c r="A9" s="19" t="str">
        <x:v>A</x:v>
      </x:c>
      <x:c r="B9" s="19" t="str">
        <x:v>Business system API</x:v>
      </x:c>
      <x:c r="C9" s="19" t="str">
        <x:v>request</x:v>
      </x:c>
      <x:c r="D9" s="20" t="n">
        <x:v>1</x:v>
      </x:c>
      <x:c r="E9" s="19" t="n">
        <x:v>1</x:v>
      </x:c>
      <x:c r="F9" s="19" t="n">
        <x:v>0</x:v>
      </x:c>
      <x:c r="G9" s="22" t="n">
        <x:v>0.001</x:v>
      </x:c>
      <x:c r="H9" s="28" t="n">
        <x:f>IF(AND(COUNT(D9:G9)=4,COUNTBLANK(D9:G9)=0,MIN(D9:G9)&gt;=0,D9&lt;=1),D9*E9*(1+F9),"Check API inputs")</x:f>
        <x:v>1</x:v>
      </x:c>
      <x:c r="I9" s="23" t="n">
        <x:f>IF(ISNUMBER(H9),H9*G9,"Check external call")</x:f>
        <x:v>0.001</x:v>
      </x:c>
      <x:c r="J9" s="19" t="str">
        <x:v>Separate from model charge</x:v>
      </x:c>
      <x:c r="K9" s="2"/>
      <x:c r="L9" s="2"/>
    </x:row>
    <x:row r="10" ht="24" customHeight="1">
      <x:c r="A10" s="19" t="str">
        <x:v>A</x:v>
      </x:c>
      <x:c r="B10" s="19" t="str">
        <x:v>Document extraction</x:v>
      </x:c>
      <x:c r="C10" s="19" t="str">
        <x:v>page</x:v>
      </x:c>
      <x:c r="D10" s="20" t="n">
        <x:v>0.1</x:v>
      </x:c>
      <x:c r="E10" s="19" t="n">
        <x:v>3</x:v>
      </x:c>
      <x:c r="F10" s="19" t="n">
        <x:v>0</x:v>
      </x:c>
      <x:c r="G10" s="22" t="n">
        <x:v>0.005</x:v>
      </x:c>
      <x:c r="H10" s="28" t="n">
        <x:f>IF(AND(COUNT(D10:G10)=4,COUNTBLANK(D10:G10)=0,MIN(D10:G10)&gt;=0,D10&lt;=1),D10*E10*(1+F10),"Check API inputs")</x:f>
        <x:v>0.30000000000000004</x:v>
      </x:c>
      <x:c r="I10" s="23" t="n">
        <x:f>IF(ISNUMBER(H10),H10*G10,"Check external call")</x:f>
        <x:v>0.0015000000000000002</x:v>
      </x:c>
      <x:c r="J10" s="19" t="str">
        <x:v>Example per-page billing</x:v>
      </x:c>
      <x:c r="K10" s="2"/>
      <x:c r="L10" s="2"/>
    </x:row>
    <x:row r="11" ht="24" customHeight="1">
      <x:c r="A11" s="19" t="str">
        <x:v>A</x:v>
      </x:c>
      <x:c r="B11" s="19" t="str">
        <x:v>Connector / orchestration</x:v>
      </x:c>
      <x:c r="C11" s="19" t="str">
        <x:v>execution</x:v>
      </x:c>
      <x:c r="D11" s="20" t="n">
        <x:v>1</x:v>
      </x:c>
      <x:c r="E11" s="19" t="n">
        <x:v>1</x:v>
      </x:c>
      <x:c r="F11" s="19" t="n">
        <x:v>0</x:v>
      </x:c>
      <x:c r="G11" s="22" t="n">
        <x:v>0.001</x:v>
      </x:c>
      <x:c r="H11" s="28" t="n">
        <x:f>IF(AND(COUNT(D11:G11)=4,COUNTBLANK(D11:G11)=0,MIN(D11:G11)&gt;=0,D11&lt;=1),D11*E11*(1+F11),"Check API inputs")</x:f>
        <x:v>1</x:v>
      </x:c>
      <x:c r="I11" s="23" t="n">
        <x:f>IF(ISNUMBER(H11),H11*G11,"Check external call")</x:f>
        <x:v>0.001</x:v>
      </x:c>
      <x:c r="J11" s="19" t="str">
        <x:v>Do not repeat platform retainer</x:v>
      </x:c>
      <x:c r="K11" s="2"/>
      <x:c r="L11" s="2"/>
    </x:row>
    <x:row r="12" ht="24" customHeight="1">
      <x:c r="A12" s="19" t="str">
        <x:v>A</x:v>
      </x:c>
      <x:c r="B12" s="19" t="str">
        <x:v>Optional external service</x:v>
      </x:c>
      <x:c r="C12" s="19" t="str">
        <x:v>unit</x:v>
      </x:c>
      <x:c r="D12" s="20" t="n">
        <x:v>0</x:v>
      </x:c>
      <x:c r="E12" s="19" t="n">
        <x:v>0</x:v>
      </x:c>
      <x:c r="F12" s="19" t="n">
        <x:v>0</x:v>
      </x:c>
      <x:c r="G12" s="22" t="n">
        <x:v>0</x:v>
      </x:c>
      <x:c r="H12" s="28" t="n">
        <x:f>IF(AND(COUNT(D12:G12)=4,COUNTBLANK(D12:G12)=0,MIN(D12:G12)&gt;=0,D12&lt;=1),D12*E12*(1+F12),"Check API inputs")</x:f>
        <x:v>0</x:v>
      </x:c>
      <x:c r="I12" s="23" t="n">
        <x:f>IF(ISNUMBER(H12),H12*G12,"Check external call")</x:f>
        <x:v>0</x:v>
      </x:c>
      <x:c r="J12" s="19" t="str">
        <x:v>Add another billable service</x:v>
      </x:c>
      <x:c r="K12" s="2"/>
      <x:c r="L12" s="2"/>
    </x:row>
    <x:row r="13" ht="24" customHeight="1">
      <x:c r="A13" s="19" t="str">
        <x:v>B</x:v>
      </x:c>
      <x:c r="B13" s="19" t="str">
        <x:v>Retrieval / vector search</x:v>
      </x:c>
      <x:c r="C13" s="19" t="str">
        <x:v>request</x:v>
      </x:c>
      <x:c r="D13" s="20" t="n">
        <x:v>0.9</x:v>
      </x:c>
      <x:c r="E13" s="19" t="n">
        <x:v>2</x:v>
      </x:c>
      <x:c r="F13" s="19" t="n">
        <x:v>0.1</x:v>
      </x:c>
      <x:c r="G13" s="22" t="n">
        <x:v>0.002</x:v>
      </x:c>
      <x:c r="H13" s="28" t="n">
        <x:f>IF(AND(COUNT(D13:G13)=4,COUNTBLANK(D13:G13)=0,MIN(D13:G13)&gt;=0,D13&lt;=1),D13*E13*(1+F13),"Check API inputs")</x:f>
        <x:v>1.9800000000000002</x:v>
      </x:c>
      <x:c r="I13" s="23" t="n">
        <x:f>IF(ISNUMBER(H13),H13*G13,"Check external call")</x:f>
        <x:v>0.003960000000000001</x:v>
      </x:c>
      <x:c r="J13" s="19" t="str">
        <x:v>Variable request fee only</x:v>
      </x:c>
      <x:c r="K13" s="2"/>
      <x:c r="L13" s="2"/>
    </x:row>
    <x:row r="14" ht="24" customHeight="1">
      <x:c r="A14" s="19" t="str">
        <x:v>B</x:v>
      </x:c>
      <x:c r="B14" s="19" t="str">
        <x:v>Web search</x:v>
      </x:c>
      <x:c r="C14" s="19" t="str">
        <x:v>request</x:v>
      </x:c>
      <x:c r="D14" s="20" t="n">
        <x:v>0.25</x:v>
      </x:c>
      <x:c r="E14" s="19" t="n">
        <x:v>1</x:v>
      </x:c>
      <x:c r="F14" s="19" t="n">
        <x:v>0.2</x:v>
      </x:c>
      <x:c r="G14" s="22" t="n">
        <x:v>0.015</x:v>
      </x:c>
      <x:c r="H14" s="28" t="n">
        <x:f>IF(AND(COUNT(D14:G14)=4,COUNTBLANK(D14:G14)=0,MIN(D14:G14)&gt;=0,D14&lt;=1),D14*E14*(1+F14),"Check API inputs")</x:f>
        <x:v>0.3</x:v>
      </x:c>
      <x:c r="I14" s="23" t="n">
        <x:f>IF(ISNUMBER(H14),H14*G14,"Check external call")</x:f>
        <x:v>0.0045</x:v>
      </x:c>
      <x:c r="J14" s="19" t="str">
        <x:v>Include source fetching if billed</x:v>
      </x:c>
      <x:c r="K14" s="2"/>
      <x:c r="L14" s="2"/>
    </x:row>
    <x:row r="15" ht="24" customHeight="1">
      <x:c r="A15" s="19" t="str">
        <x:v>B</x:v>
      </x:c>
      <x:c r="B15" s="19" t="str">
        <x:v>Business system API</x:v>
      </x:c>
      <x:c r="C15" s="19" t="str">
        <x:v>request</x:v>
      </x:c>
      <x:c r="D15" s="20" t="n">
        <x:v>1</x:v>
      </x:c>
      <x:c r="E15" s="19" t="n">
        <x:v>1</x:v>
      </x:c>
      <x:c r="F15" s="19" t="n">
        <x:v>0</x:v>
      </x:c>
      <x:c r="G15" s="22" t="n">
        <x:v>0.001</x:v>
      </x:c>
      <x:c r="H15" s="28" t="n">
        <x:f>IF(AND(COUNT(D15:G15)=4,COUNTBLANK(D15:G15)=0,MIN(D15:G15)&gt;=0,D15&lt;=1),D15*E15*(1+F15),"Check API inputs")</x:f>
        <x:v>1</x:v>
      </x:c>
      <x:c r="I15" s="23" t="n">
        <x:f>IF(ISNUMBER(H15),H15*G15,"Check external call")</x:f>
        <x:v>0.001</x:v>
      </x:c>
      <x:c r="J15" s="19" t="str">
        <x:v>Separate from model charge</x:v>
      </x:c>
      <x:c r="K15" s="2"/>
      <x:c r="L15" s="2"/>
    </x:row>
    <x:row r="16" ht="24" customHeight="1">
      <x:c r="A16" s="19" t="str">
        <x:v>B</x:v>
      </x:c>
      <x:c r="B16" s="19" t="str">
        <x:v>Document extraction</x:v>
      </x:c>
      <x:c r="C16" s="19" t="str">
        <x:v>page</x:v>
      </x:c>
      <x:c r="D16" s="20" t="n">
        <x:v>0.1</x:v>
      </x:c>
      <x:c r="E16" s="19" t="n">
        <x:v>3</x:v>
      </x:c>
      <x:c r="F16" s="19" t="n">
        <x:v>0</x:v>
      </x:c>
      <x:c r="G16" s="22" t="n">
        <x:v>0.005</x:v>
      </x:c>
      <x:c r="H16" s="28" t="n">
        <x:f>IF(AND(COUNT(D16:G16)=4,COUNTBLANK(D16:G16)=0,MIN(D16:G16)&gt;=0,D16&lt;=1),D16*E16*(1+F16),"Check API inputs")</x:f>
        <x:v>0.30000000000000004</x:v>
      </x:c>
      <x:c r="I16" s="23" t="n">
        <x:f>IF(ISNUMBER(H16),H16*G16,"Check external call")</x:f>
        <x:v>0.0015000000000000002</x:v>
      </x:c>
      <x:c r="J16" s="19" t="str">
        <x:v>Example per-page billing</x:v>
      </x:c>
      <x:c r="K16" s="2"/>
      <x:c r="L16" s="2"/>
    </x:row>
    <x:row r="17" ht="24" customHeight="1">
      <x:c r="A17" s="19" t="str">
        <x:v>B</x:v>
      </x:c>
      <x:c r="B17" s="19" t="str">
        <x:v>Connector / orchestration</x:v>
      </x:c>
      <x:c r="C17" s="19" t="str">
        <x:v>execution</x:v>
      </x:c>
      <x:c r="D17" s="20" t="n">
        <x:v>1</x:v>
      </x:c>
      <x:c r="E17" s="19" t="n">
        <x:v>1</x:v>
      </x:c>
      <x:c r="F17" s="19" t="n">
        <x:v>0</x:v>
      </x:c>
      <x:c r="G17" s="22" t="n">
        <x:v>0.001</x:v>
      </x:c>
      <x:c r="H17" s="28" t="n">
        <x:f>IF(AND(COUNT(D17:G17)=4,COUNTBLANK(D17:G17)=0,MIN(D17:G17)&gt;=0,D17&lt;=1),D17*E17*(1+F17),"Check API inputs")</x:f>
        <x:v>1</x:v>
      </x:c>
      <x:c r="I17" s="23" t="n">
        <x:f>IF(ISNUMBER(H17),H17*G17,"Check external call")</x:f>
        <x:v>0.001</x:v>
      </x:c>
      <x:c r="J17" s="19" t="str">
        <x:v>Do not repeat platform retainer</x:v>
      </x:c>
      <x:c r="K17" s="2"/>
      <x:c r="L17" s="2"/>
    </x:row>
    <x:row r="18" ht="24" customHeight="1">
      <x:c r="A18" s="19" t="str">
        <x:v>B</x:v>
      </x:c>
      <x:c r="B18" s="19" t="str">
        <x:v>Optional external service</x:v>
      </x:c>
      <x:c r="C18" s="19" t="str">
        <x:v>unit</x:v>
      </x:c>
      <x:c r="D18" s="20" t="n">
        <x:v>0</x:v>
      </x:c>
      <x:c r="E18" s="19" t="n">
        <x:v>0</x:v>
      </x:c>
      <x:c r="F18" s="19" t="n">
        <x:v>0</x:v>
      </x:c>
      <x:c r="G18" s="22" t="n">
        <x:v>0</x:v>
      </x:c>
      <x:c r="H18" s="28" t="n">
        <x:f>IF(AND(COUNT(D18:G18)=4,COUNTBLANK(D18:G18)=0,MIN(D18:G18)&gt;=0,D18&lt;=1),D18*E18*(1+F18),"Check API inputs")</x:f>
        <x:v>0</x:v>
      </x:c>
      <x:c r="I18" s="23" t="n">
        <x:f>IF(ISNUMBER(H18),H18*G18,"Check external call")</x:f>
        <x:v>0</x:v>
      </x:c>
      <x:c r="J18" s="19" t="str">
        <x:v>Add another billable service</x:v>
      </x:c>
      <x:c r="K18" s="2"/>
      <x:c r="L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25" t="str">
        <x:v>A multi-agent task may invoke several services. The fractions do not need to add to 100%.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4" customHeight="1">
      <x:c r="A22" s="25" t="str">
        <x:v>Fractions use all original tasks as denominator. Convert conditional route rates before entering them.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4" customHeight="1">
      <x:c r="A23" s="25" t="str">
        <x:v>Fixed subscriptions, API minimum commitments and observability retainers belong in Compare, counted once.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4" customHeight="1">
      <x:c r="A24" s="25" t="str">
        <x:v>Model-provider tool fees belong here only when not already included in the token or model charge.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4" customHeight="1">
      <x:c r="A25" s="25" t="str">
        <x:v>Teaching rates only. Record the real vendor billing unit, rate and source in the last column.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</x:sheetData>
  <x:mergeCells>
    <x:mergeCell ref="A4:J4"/>
    <x:mergeCell ref="A21:J21"/>
    <x:mergeCell ref="A22:J22"/>
    <x:mergeCell ref="A23:J23"/>
    <x:mergeCell ref="A24:J24"/>
    <x:mergeCell ref="A25:J25"/>
  </x:mergeCells>
  <x:dataValidations count="3">
    <x:dataValidation type="decimal" operator="between" sqref="D7:D18">
      <x:formula1>0</x:formula1>
      <x:formula2>1</x:formula2>
    </x:dataValidation>
    <x:dataValidation type="decimal" operator="greaterThanOrEqual" sqref="E7:G18">
      <x:formula1>0</x:formula1>
    </x:dataValidation>
    <x:dataValidation type="list" sqref="A7:A18">
      <x:formula1>"A,B"</x:formula1>
    </x:dataValidation>
  </x:dataValidations>
  <x:pageMargins left="0.7" right="0.7" top="0.75" bottom="0.75" header="0.3" footer="0.3"/>
</x:worksheet>
</file>